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macros\"/>
    </mc:Choice>
  </mc:AlternateContent>
  <xr:revisionPtr revIDLastSave="0" documentId="13_ncr:1_{982A7F13-C114-4BCC-B9EC-D93DB5B40D53}" xr6:coauthVersionLast="47" xr6:coauthVersionMax="47" xr10:uidLastSave="{00000000-0000-0000-0000-000000000000}"/>
  <bookViews>
    <workbookView xWindow="-98" yWindow="-98" windowWidth="38596" windowHeight="21795" activeTab="1" xr2:uid="{A291570C-8207-47CC-A7EB-1C639AA7D390}"/>
  </bookViews>
  <sheets>
    <sheet name="Michaelis-Menten" sheetId="1" r:id="rId1"/>
    <sheet name="Blackbody" sheetId="2" r:id="rId2"/>
  </sheets>
  <definedNames>
    <definedName name="b_1">Blackbody!$L$23</definedName>
    <definedName name="b_2">Blackbody!$L$24</definedName>
    <definedName name="c_">Blackbody!$I$25</definedName>
    <definedName name="CLS_SystemSeed" hidden="1">1915649056</definedName>
    <definedName name="CLS_Version">"1.4.0"</definedName>
    <definedName name="h">Blackbody!$I$24</definedName>
    <definedName name="k">Blackbody!$I$26</definedName>
    <definedName name="K_m">'Michaelis-Menten'!$B$20</definedName>
    <definedName name="resids">'Michaelis-Menten'!$D$2:$D$11</definedName>
    <definedName name="solver_adj" localSheetId="1" hidden="1">Blackbody!$L$23:$L$24</definedName>
    <definedName name="solver_adj" localSheetId="0" hidden="1">'Michaelis-Menten'!$B$19:$B$20</definedName>
    <definedName name="solver_cvg" localSheetId="1" hidden="1">0.000001</definedName>
    <definedName name="solver_cvg" localSheetId="0" hidden="1">0.000001</definedName>
    <definedName name="solver_drv" localSheetId="1" hidden="1">2</definedName>
    <definedName name="solver_drv" localSheetId="0" hidden="1">2</definedName>
    <definedName name="solver_eng" localSheetId="1" hidden="1">1</definedName>
    <definedName name="solver_eng" localSheetId="0" hidden="1">1</definedName>
    <definedName name="solver_neg" localSheetId="1" hidden="1">2</definedName>
    <definedName name="solver_neg" localSheetId="0" hidden="1">2</definedName>
    <definedName name="solver_opt" localSheetId="1" hidden="1">Blackbody!$L$25</definedName>
    <definedName name="solver_opt" localSheetId="0" hidden="1">'Michaelis-Menten'!$B$21</definedName>
    <definedName name="solver_pre" localSheetId="1" hidden="1">0.000000000001</definedName>
    <definedName name="solver_pre" localSheetId="0" hidden="1">0.000000000001</definedName>
    <definedName name="solver_scl" localSheetId="1" hidden="1">1</definedName>
    <definedName name="solver_scl" localSheetId="0" hidden="1">1</definedName>
    <definedName name="solver_tim" localSheetId="1" hidden="1">30</definedName>
    <definedName name="solver_tim" localSheetId="0" hidden="1">30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V_m">'Michaelis-Menten'!$B$19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2" l="1"/>
  <c r="F2" i="2"/>
  <c r="E3" i="2"/>
  <c r="F3" i="2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L25" i="2" a="1"/>
  <c r="N41" i="2" a="1"/>
  <c r="I41" i="2" a="1"/>
  <c r="P41" i="2"/>
  <c r="P42" i="2"/>
  <c r="N42" i="2"/>
  <c r="O42" i="2"/>
  <c r="O43" i="2"/>
  <c r="N43" i="2"/>
  <c r="K41" i="2"/>
  <c r="K42" i="2"/>
  <c r="I42" i="2"/>
  <c r="J42" i="2"/>
  <c r="J43" i="2"/>
  <c r="I43" i="2"/>
  <c r="L26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C2" i="1"/>
  <c r="D2" i="1"/>
  <c r="C3" i="1"/>
  <c r="D3" i="1"/>
  <c r="C4" i="1"/>
  <c r="D4" i="1"/>
  <c r="C5" i="1"/>
  <c r="D5" i="1"/>
  <c r="C11" i="1"/>
  <c r="D11" i="1"/>
  <c r="C10" i="1"/>
  <c r="D10" i="1"/>
  <c r="C9" i="1"/>
  <c r="D9" i="1"/>
  <c r="C8" i="1"/>
  <c r="D8" i="1"/>
  <c r="C7" i="1"/>
  <c r="D7" i="1"/>
  <c r="C6" i="1"/>
  <c r="D6" i="1"/>
  <c r="B21" i="1"/>
  <c r="B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53ACB631-F549-41EA-B48C-B5F7D600F93D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mM</t>
        </r>
      </text>
    </comment>
    <comment ref="B1" authorId="0" shapeId="0" xr:uid="{0BE84044-A60B-4C67-8F27-D70C15170A2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</t>
        </r>
        <r>
          <rPr>
            <sz val="9"/>
            <color indexed="81"/>
            <rFont val="Symbol"/>
            <family val="1"/>
            <charset val="2"/>
          </rPr>
          <t>m</t>
        </r>
        <r>
          <rPr>
            <sz val="9"/>
            <color indexed="81"/>
            <rFont val="Tahoma"/>
            <family val="2"/>
          </rPr>
          <t>M / 3 min / mg enzyme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  <author>chrislstevenson</author>
  </authors>
  <commentList>
    <comment ref="A1" authorId="0" shapeId="0" xr:uid="{9809F5A0-0B11-4CC0-97A6-8287701EBE0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cm</t>
        </r>
        <r>
          <rPr>
            <vertAlign val="superscript"/>
            <sz val="9"/>
            <color indexed="81"/>
            <rFont val="Tahoma"/>
            <family val="2"/>
          </rPr>
          <t>-1</t>
        </r>
      </text>
    </comment>
    <comment ref="B1" authorId="0" shapeId="0" xr:uid="{3E8844ED-827D-44E7-A799-3600E0149ADD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10</t>
        </r>
        <r>
          <rPr>
            <vertAlign val="superscript"/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Tahoma"/>
            <family val="2"/>
          </rPr>
          <t xml:space="preserve"> W/(m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sr Hz)</t>
        </r>
      </text>
    </comment>
    <comment ref="C1" authorId="1" shapeId="0" xr:uid="{B9B64C6C-C41B-44EF-874C-F18E47CD90B8}">
      <text>
        <r>
          <rPr>
            <b/>
            <sz val="9"/>
            <color indexed="81"/>
            <rFont val="Tahoma"/>
            <family val="2"/>
          </rPr>
          <t>chrislstevenson:</t>
        </r>
        <r>
          <rPr>
            <sz val="9"/>
            <color indexed="81"/>
            <rFont val="Tahoma"/>
            <family val="2"/>
          </rPr>
          <t xml:space="preserve">
Units of 10</t>
        </r>
        <r>
          <rPr>
            <vertAlign val="superscript"/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Tahoma"/>
            <family val="2"/>
          </rPr>
          <t xml:space="preserve"> W/(m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sr Hz)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<sst xmlns="http://schemas.openxmlformats.org/spreadsheetml/2006/main" count="66" uniqueCount="39">
  <si>
    <t>S</t>
  </si>
  <si>
    <t>V</t>
  </si>
  <si>
    <t>V_m</t>
  </si>
  <si>
    <t>K_m</t>
  </si>
  <si>
    <t>resids</t>
  </si>
  <si>
    <t>SS_res</t>
  </si>
  <si>
    <t>coeffs</t>
  </si>
  <si>
    <t>std err</t>
  </si>
  <si>
    <t>95% MOE</t>
  </si>
  <si>
    <t>s_res, R^2</t>
  </si>
  <si>
    <t>n, DOF</t>
  </si>
  <si>
    <t>SSreg, SSres</t>
  </si>
  <si>
    <t>F, p-val</t>
  </si>
  <si>
    <t>Correlations</t>
  </si>
  <si>
    <t>&lt;-- minimized by SOLVER</t>
  </si>
  <si>
    <t>yhat</t>
  </si>
  <si>
    <t>wavenumber</t>
  </si>
  <si>
    <t>B_exp</t>
  </si>
  <si>
    <t>weights</t>
  </si>
  <si>
    <t>std devs</t>
  </si>
  <si>
    <t>Constants</t>
  </si>
  <si>
    <t>h, J*s</t>
  </si>
  <si>
    <t>c, m/s</t>
  </si>
  <si>
    <t>k, J/K</t>
  </si>
  <si>
    <t>b_1</t>
  </si>
  <si>
    <t>b_2</t>
  </si>
  <si>
    <r>
      <t xml:space="preserve">&lt;-- </t>
    </r>
    <r>
      <rPr>
        <i/>
        <sz val="11"/>
        <color theme="1"/>
        <rFont val="Aptos Narrow"/>
        <family val="2"/>
        <scheme val="minor"/>
      </rPr>
      <t>weighted</t>
    </r>
    <r>
      <rPr>
        <sz val="11"/>
        <color theme="1"/>
        <rFont val="Aptos Narrow"/>
        <family val="2"/>
        <scheme val="minor"/>
      </rPr>
      <t xml:space="preserve"> sum of sqr resids</t>
    </r>
  </si>
  <si>
    <t xml:space="preserve">   init values: 1</t>
  </si>
  <si>
    <t>^^ results of unweighted NLS</t>
  </si>
  <si>
    <t>^^ results of weighted NLS</t>
  </si>
  <si>
    <t>Property</t>
  </si>
  <si>
    <t>Value</t>
  </si>
  <si>
    <t>SD</t>
  </si>
  <si>
    <t>RSD</t>
  </si>
  <si>
    <t>T</t>
  </si>
  <si>
    <t>Propagation of error: Blackbody temperature from fit</t>
  </si>
  <si>
    <t>^^ weighted NLS</t>
  </si>
  <si>
    <t>^^ unweighted NLS</t>
  </si>
  <si>
    <t>1/b_2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</si>
</sst>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E+00"/>
    <numFmt numFmtId="165" formatCode="0.0000E+00"/>
    <numFmt numFmtId="166" formatCode="#,##0.00000"/>
    <numFmt numFmtId="167" formatCode="#,##0.000000"/>
    <numFmt numFmtId="168" formatCode="0.00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Symbol"/>
      <family val="1"/>
      <charset val="2"/>
    </font>
    <font>
      <vertAlign val="superscript"/>
      <sz val="9"/>
      <color indexed="81"/>
      <name val="Tahoma"/>
      <family val="2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167" fontId="0" fillId="0" borderId="0" xfId="0" applyNumberFormat="1" applyAlignment="1">
      <alignment horizontal="center"/>
    </xf>
    <xf numFmtId="0" fontId="6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0" xfId="0" applyFill="1" applyBorder="1" applyAlignment="1">
      <alignment horizontal="centerContinuous"/>
    </xf>
    <xf numFmtId="0" fontId="0" fillId="2" borderId="12" xfId="0" applyFill="1" applyBorder="1" applyAlignment="1">
      <alignment horizontal="centerContinuous"/>
    </xf>
    <xf numFmtId="0" fontId="0" fillId="2" borderId="11" xfId="0" applyFill="1" applyBorder="1" applyAlignment="1">
      <alignment horizontal="centerContinuous"/>
    </xf>
    <xf numFmtId="0" fontId="7" fillId="0" borderId="13" xfId="0" applyFont="1" applyBorder="1" applyAlignment="1">
      <alignment horizontal="center"/>
    </xf>
    <xf numFmtId="166" fontId="1" fillId="2" borderId="11" xfId="0" applyNumberFormat="1" applyFont="1" applyFill="1" applyBorder="1" applyAlignment="1">
      <alignment horizontal="center"/>
    </xf>
    <xf numFmtId="168" fontId="1" fillId="2" borderId="10" xfId="0" applyNumberFormat="1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8">
    <dxf>
      <numFmt numFmtId="15" formatCode="0.00E+00"/>
      <alignment horizontal="center" vertical="bottom" textRotation="0" wrapText="0" indent="0" justifyLastLine="0" shrinkToFit="0" readingOrder="0"/>
    </dxf>
    <dxf>
      <numFmt numFmtId="167" formatCode="#,##0.000000"/>
      <alignment horizontal="center" vertical="bottom" textRotation="0" wrapText="0" indent="0" justifyLastLine="0" shrinkToFit="0" readingOrder="0"/>
    </dxf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Michaelis-Menten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'Michaelis-Menten'!$A$2:$A$11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</c:numCache>
            </c:numRef>
          </c:xVal>
          <c:yVal>
            <c:numRef>
              <c:f>'Michaelis-Menten'!$B$2:$B$11</c:f>
              <c:numCache>
                <c:formatCode>General</c:formatCode>
                <c:ptCount val="10"/>
                <c:pt idx="0">
                  <c:v>265</c:v>
                </c:pt>
                <c:pt idx="1">
                  <c:v>521</c:v>
                </c:pt>
                <c:pt idx="2">
                  <c:v>662</c:v>
                </c:pt>
                <c:pt idx="3">
                  <c:v>885</c:v>
                </c:pt>
                <c:pt idx="4">
                  <c:v>884</c:v>
                </c:pt>
                <c:pt idx="5">
                  <c:v>852</c:v>
                </c:pt>
                <c:pt idx="6">
                  <c:v>932</c:v>
                </c:pt>
                <c:pt idx="7">
                  <c:v>987</c:v>
                </c:pt>
                <c:pt idx="8">
                  <c:v>984</c:v>
                </c:pt>
                <c:pt idx="9">
                  <c:v>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86-41F8-9705-0DD5E0D68D07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'Michaelis-Menten'!$A$2:$A$11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</c:numCache>
            </c:numRef>
          </c:xVal>
          <c:yVal>
            <c:numRef>
              <c:f>'Michaelis-Menten'!$C$2:$C$11</c:f>
              <c:numCache>
                <c:formatCode>#,##0.00</c:formatCode>
                <c:ptCount val="10"/>
                <c:pt idx="0">
                  <c:v>343.64036390079264</c:v>
                </c:pt>
                <c:pt idx="1">
                  <c:v>543.65844067044918</c:v>
                </c:pt>
                <c:pt idx="2">
                  <c:v>674.52993080615249</c:v>
                </c:pt>
                <c:pt idx="3">
                  <c:v>766.82661391787553</c:v>
                </c:pt>
                <c:pt idx="4">
                  <c:v>835.41290163775795</c:v>
                </c:pt>
                <c:pt idx="5">
                  <c:v>888.385376263853</c:v>
                </c:pt>
                <c:pt idx="6">
                  <c:v>930.53093985597729</c:v>
                </c:pt>
                <c:pt idx="7">
                  <c:v>964.86115707320823</c:v>
                </c:pt>
                <c:pt idx="8">
                  <c:v>993.36545286905925</c:v>
                </c:pt>
                <c:pt idx="9">
                  <c:v>1017.4108437938011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86-41F8-9705-0DD5E0D68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199135"/>
        <c:axId val="219200575"/>
      </c:scatterChart>
      <c:valAx>
        <c:axId val="219199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 conc (S), 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200575"/>
        <c:crosses val="autoZero"/>
        <c:crossBetween val="midCat"/>
      </c:valAx>
      <c:valAx>
        <c:axId val="219200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Reaction rate (V), </a:t>
                </a:r>
                <a:r>
                  <a:rPr lang="en-US">
                    <a:latin typeface="Symbol" panose="05050102010706020507" pitchFamily="18" charset="2"/>
                  </a:rPr>
                  <a:t>m</a:t>
                </a:r>
                <a:r>
                  <a:rPr lang="en-US"/>
                  <a:t>M/3</a:t>
                </a:r>
                <a:r>
                  <a:rPr lang="en-US" baseline="0"/>
                  <a:t> min/mg enzyme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9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Blackbody Radiation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Blackbody!$A$2:$A$44</c:f>
              <c:numCache>
                <c:formatCode>General</c:formatCode>
                <c:ptCount val="43"/>
                <c:pt idx="0">
                  <c:v>2.27</c:v>
                </c:pt>
                <c:pt idx="1">
                  <c:v>2.72</c:v>
                </c:pt>
                <c:pt idx="2">
                  <c:v>3.18</c:v>
                </c:pt>
                <c:pt idx="3">
                  <c:v>3.63</c:v>
                </c:pt>
                <c:pt idx="4">
                  <c:v>4.08</c:v>
                </c:pt>
                <c:pt idx="5">
                  <c:v>4.54</c:v>
                </c:pt>
                <c:pt idx="6">
                  <c:v>4.99</c:v>
                </c:pt>
                <c:pt idx="7">
                  <c:v>5.45</c:v>
                </c:pt>
                <c:pt idx="8">
                  <c:v>5.9</c:v>
                </c:pt>
                <c:pt idx="9">
                  <c:v>6.35</c:v>
                </c:pt>
                <c:pt idx="10">
                  <c:v>6.81</c:v>
                </c:pt>
                <c:pt idx="11">
                  <c:v>7.26</c:v>
                </c:pt>
                <c:pt idx="12">
                  <c:v>7.71</c:v>
                </c:pt>
                <c:pt idx="13">
                  <c:v>8.17</c:v>
                </c:pt>
                <c:pt idx="14">
                  <c:v>8.6199999999999992</c:v>
                </c:pt>
                <c:pt idx="15">
                  <c:v>9.08</c:v>
                </c:pt>
                <c:pt idx="16">
                  <c:v>9.5299999999999994</c:v>
                </c:pt>
                <c:pt idx="17">
                  <c:v>9.98</c:v>
                </c:pt>
                <c:pt idx="18">
                  <c:v>10.44</c:v>
                </c:pt>
                <c:pt idx="19">
                  <c:v>10.89</c:v>
                </c:pt>
                <c:pt idx="20">
                  <c:v>11.34</c:v>
                </c:pt>
                <c:pt idx="21">
                  <c:v>11.8</c:v>
                </c:pt>
                <c:pt idx="22">
                  <c:v>12.25</c:v>
                </c:pt>
                <c:pt idx="23">
                  <c:v>12.71</c:v>
                </c:pt>
                <c:pt idx="24">
                  <c:v>13.16</c:v>
                </c:pt>
                <c:pt idx="25">
                  <c:v>13.61</c:v>
                </c:pt>
                <c:pt idx="26">
                  <c:v>14.07</c:v>
                </c:pt>
                <c:pt idx="27">
                  <c:v>14.52</c:v>
                </c:pt>
                <c:pt idx="28">
                  <c:v>14.97</c:v>
                </c:pt>
                <c:pt idx="29">
                  <c:v>15.43</c:v>
                </c:pt>
                <c:pt idx="30">
                  <c:v>15.88</c:v>
                </c:pt>
                <c:pt idx="31">
                  <c:v>16.34</c:v>
                </c:pt>
                <c:pt idx="32">
                  <c:v>16.79</c:v>
                </c:pt>
                <c:pt idx="33">
                  <c:v>17.239999999999998</c:v>
                </c:pt>
                <c:pt idx="34">
                  <c:v>17.7</c:v>
                </c:pt>
                <c:pt idx="35">
                  <c:v>18.149999999999999</c:v>
                </c:pt>
                <c:pt idx="36">
                  <c:v>18.61</c:v>
                </c:pt>
                <c:pt idx="37">
                  <c:v>19.059999999999999</c:v>
                </c:pt>
                <c:pt idx="38">
                  <c:v>19.510000000000002</c:v>
                </c:pt>
                <c:pt idx="39">
                  <c:v>19.97</c:v>
                </c:pt>
                <c:pt idx="40">
                  <c:v>20.420000000000002</c:v>
                </c:pt>
                <c:pt idx="41">
                  <c:v>20.87</c:v>
                </c:pt>
                <c:pt idx="42">
                  <c:v>21.33</c:v>
                </c:pt>
              </c:numCache>
            </c:numRef>
          </c:xVal>
          <c:yVal>
            <c:numRef>
              <c:f>Blackbody!$B$2:$B$44</c:f>
              <c:numCache>
                <c:formatCode>General</c:formatCode>
                <c:ptCount val="43"/>
                <c:pt idx="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32-46D7-99C3-39D6937C0EFF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Blackbody!$A$2:$A$44</c:f>
              <c:numCache>
                <c:formatCode>General</c:formatCode>
                <c:ptCount val="43"/>
                <c:pt idx="0">
                  <c:v>2.27</c:v>
                </c:pt>
                <c:pt idx="1">
                  <c:v>2.72</c:v>
                </c:pt>
                <c:pt idx="2">
                  <c:v>3.18</c:v>
                </c:pt>
                <c:pt idx="3">
                  <c:v>3.63</c:v>
                </c:pt>
                <c:pt idx="4">
                  <c:v>4.08</c:v>
                </c:pt>
                <c:pt idx="5">
                  <c:v>4.54</c:v>
                </c:pt>
                <c:pt idx="6">
                  <c:v>4.99</c:v>
                </c:pt>
                <c:pt idx="7">
                  <c:v>5.45</c:v>
                </c:pt>
                <c:pt idx="8">
                  <c:v>5.9</c:v>
                </c:pt>
                <c:pt idx="9">
                  <c:v>6.35</c:v>
                </c:pt>
                <c:pt idx="10">
                  <c:v>6.81</c:v>
                </c:pt>
                <c:pt idx="11">
                  <c:v>7.26</c:v>
                </c:pt>
                <c:pt idx="12">
                  <c:v>7.71</c:v>
                </c:pt>
                <c:pt idx="13">
                  <c:v>8.17</c:v>
                </c:pt>
                <c:pt idx="14">
                  <c:v>8.6199999999999992</c:v>
                </c:pt>
                <c:pt idx="15">
                  <c:v>9.08</c:v>
                </c:pt>
                <c:pt idx="16">
                  <c:v>9.5299999999999994</c:v>
                </c:pt>
                <c:pt idx="17">
                  <c:v>9.98</c:v>
                </c:pt>
                <c:pt idx="18">
                  <c:v>10.44</c:v>
                </c:pt>
                <c:pt idx="19">
                  <c:v>10.89</c:v>
                </c:pt>
                <c:pt idx="20">
                  <c:v>11.34</c:v>
                </c:pt>
                <c:pt idx="21">
                  <c:v>11.8</c:v>
                </c:pt>
                <c:pt idx="22">
                  <c:v>12.25</c:v>
                </c:pt>
                <c:pt idx="23">
                  <c:v>12.71</c:v>
                </c:pt>
                <c:pt idx="24">
                  <c:v>13.16</c:v>
                </c:pt>
                <c:pt idx="25">
                  <c:v>13.61</c:v>
                </c:pt>
                <c:pt idx="26">
                  <c:v>14.07</c:v>
                </c:pt>
                <c:pt idx="27">
                  <c:v>14.52</c:v>
                </c:pt>
                <c:pt idx="28">
                  <c:v>14.97</c:v>
                </c:pt>
                <c:pt idx="29">
                  <c:v>15.43</c:v>
                </c:pt>
                <c:pt idx="30">
                  <c:v>15.88</c:v>
                </c:pt>
                <c:pt idx="31">
                  <c:v>16.34</c:v>
                </c:pt>
                <c:pt idx="32">
                  <c:v>16.79</c:v>
                </c:pt>
                <c:pt idx="33">
                  <c:v>17.239999999999998</c:v>
                </c:pt>
                <c:pt idx="34">
                  <c:v>17.7</c:v>
                </c:pt>
                <c:pt idx="35">
                  <c:v>18.149999999999999</c:v>
                </c:pt>
                <c:pt idx="36">
                  <c:v>18.61</c:v>
                </c:pt>
                <c:pt idx="37">
                  <c:v>19.059999999999999</c:v>
                </c:pt>
                <c:pt idx="38">
                  <c:v>19.510000000000002</c:v>
                </c:pt>
                <c:pt idx="39">
                  <c:v>19.97</c:v>
                </c:pt>
                <c:pt idx="40">
                  <c:v>20.420000000000002</c:v>
                </c:pt>
                <c:pt idx="41">
                  <c:v>20.87</c:v>
                </c:pt>
                <c:pt idx="42">
                  <c:v>21.33</c:v>
                </c:pt>
              </c:numCache>
            </c:numRef>
          </c:xVal>
          <c:yVal>
            <c:numRef>
              <c:f>Blackbody!$E$2:$E$44</c:f>
              <c:numCache>
                <c:formatCode>#,##0.000000</c:formatCode>
                <c:ptCount val="43"/>
                <c:pt idx="0">
                  <c:v>2.011002504467323</c:v>
                </c:pt>
                <c:pt idx="1">
                  <c:v>2.5002021579006191</c:v>
                </c:pt>
                <c:pt idx="2">
                  <c:v>2.9367899807466928</c:v>
                </c:pt>
                <c:pt idx="3">
                  <c:v>3.2858163901310022</c:v>
                </c:pt>
                <c:pt idx="4">
                  <c:v>3.5501689381430883</c:v>
                </c:pt>
                <c:pt idx="5">
                  <c:v>3.7319405799710914</c:v>
                </c:pt>
                <c:pt idx="6">
                  <c:v>3.8272049477479295</c:v>
                </c:pt>
                <c:pt idx="7">
                  <c:v>3.8478015875734624</c:v>
                </c:pt>
                <c:pt idx="8">
                  <c:v>3.802341267036784</c:v>
                </c:pt>
                <c:pt idx="9">
                  <c:v>3.7024437097326159</c:v>
                </c:pt>
                <c:pt idx="10">
                  <c:v>3.5551124866991644</c:v>
                </c:pt>
                <c:pt idx="11">
                  <c:v>3.3772011901543424</c:v>
                </c:pt>
                <c:pt idx="12">
                  <c:v>3.1754386773938688</c:v>
                </c:pt>
                <c:pt idx="13">
                  <c:v>2.953349077936223</c:v>
                </c:pt>
                <c:pt idx="14">
                  <c:v>2.7280259602502519</c:v>
                </c:pt>
                <c:pt idx="15">
                  <c:v>2.4958526516624753</c:v>
                </c:pt>
                <c:pt idx="16">
                  <c:v>2.2719450465165845</c:v>
                </c:pt>
                <c:pt idx="17">
                  <c:v>2.0550952579488939</c:v>
                </c:pt>
                <c:pt idx="18">
                  <c:v>1.8437063380213747</c:v>
                </c:pt>
                <c:pt idx="19">
                  <c:v>1.6490235770122001</c:v>
                </c:pt>
                <c:pt idx="20">
                  <c:v>1.4676233517649466</c:v>
                </c:pt>
                <c:pt idx="21">
                  <c:v>1.2966448634448631</c:v>
                </c:pt>
                <c:pt idx="22">
                  <c:v>1.1437420240452063</c:v>
                </c:pt>
                <c:pt idx="23">
                  <c:v>1.0019509805373534</c:v>
                </c:pt>
                <c:pt idx="24">
                  <c:v>0.87698429503415265</c:v>
                </c:pt>
                <c:pt idx="25">
                  <c:v>0.76495639031774176</c:v>
                </c:pt>
                <c:pt idx="26">
                  <c:v>0.66299407282711487</c:v>
                </c:pt>
                <c:pt idx="27">
                  <c:v>0.57464448683652503</c:v>
                </c:pt>
                <c:pt idx="28">
                  <c:v>0.49664773173179416</c:v>
                </c:pt>
                <c:pt idx="29">
                  <c:v>0.42666053433194312</c:v>
                </c:pt>
                <c:pt idx="30">
                  <c:v>0.36680595480244721</c:v>
                </c:pt>
                <c:pt idx="31">
                  <c:v>0.31351330029120777</c:v>
                </c:pt>
                <c:pt idx="32">
                  <c:v>0.26826395037382056</c:v>
                </c:pt>
                <c:pt idx="33">
                  <c:v>0.22905297259957907</c:v>
                </c:pt>
                <c:pt idx="34">
                  <c:v>0.19447774927305339</c:v>
                </c:pt>
                <c:pt idx="35">
                  <c:v>0.16538606688482485</c:v>
                </c:pt>
                <c:pt idx="36">
                  <c:v>0.13987436755970931</c:v>
                </c:pt>
                <c:pt idx="37">
                  <c:v>0.11851947072580576</c:v>
                </c:pt>
                <c:pt idx="38">
                  <c:v>0.10025727114024555</c:v>
                </c:pt>
                <c:pt idx="39">
                  <c:v>8.4355146883304283E-2</c:v>
                </c:pt>
                <c:pt idx="40">
                  <c:v>7.1132679486404143E-2</c:v>
                </c:pt>
                <c:pt idx="41">
                  <c:v>5.9895525956698899E-2</c:v>
                </c:pt>
                <c:pt idx="42">
                  <c:v>5.0168896612711747E-2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332-46D7-99C3-39D6937C0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918336"/>
        <c:axId val="649908256"/>
      </c:scatterChart>
      <c:valAx>
        <c:axId val="6499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Wavenumber, cm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08256"/>
        <c:crosses val="autoZero"/>
        <c:crossBetween val="midCat"/>
      </c:valAx>
      <c:valAx>
        <c:axId val="6499082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1833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Measurement precision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Blackbody!$B$2:$B$44</c:f>
              <c:numCache>
                <c:formatCode>General</c:formatCode>
                <c:ptCount val="43"/>
                <c:pt idx="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xVal>
          <c:yVal>
            <c:numRef>
              <c:f>Blackbody!$C$2:$C$44</c:f>
              <c:numCache>
                <c:formatCode>General</c:formatCode>
                <c:ptCount val="43"/>
                <c:pt idx="0">
                  <c:v>1.3999999999999999E-4</c:v>
                </c:pt>
                <c:pt idx="1">
                  <c:v>1.9000000000000001E-4</c:v>
                </c:pt>
                <c:pt idx="2">
                  <c:v>2.5000000000000001E-4</c:v>
                </c:pt>
                <c:pt idx="3">
                  <c:v>2.3000000000000001E-4</c:v>
                </c:pt>
                <c:pt idx="4">
                  <c:v>2.2000000000000001E-4</c:v>
                </c:pt>
                <c:pt idx="5">
                  <c:v>2.1000000000000001E-4</c:v>
                </c:pt>
                <c:pt idx="6">
                  <c:v>1.8000000000000001E-4</c:v>
                </c:pt>
                <c:pt idx="7">
                  <c:v>1.8000000000000001E-4</c:v>
                </c:pt>
                <c:pt idx="8">
                  <c:v>1.6000000000000001E-4</c:v>
                </c:pt>
                <c:pt idx="9">
                  <c:v>1.3999999999999999E-4</c:v>
                </c:pt>
                <c:pt idx="10">
                  <c:v>1.2999999999999999E-4</c:v>
                </c:pt>
                <c:pt idx="11">
                  <c:v>1.2E-4</c:v>
                </c:pt>
                <c:pt idx="12">
                  <c:v>1.1E-4</c:v>
                </c:pt>
                <c:pt idx="13">
                  <c:v>1E-4</c:v>
                </c:pt>
                <c:pt idx="14">
                  <c:v>1.1E-4</c:v>
                </c:pt>
                <c:pt idx="15">
                  <c:v>1.2E-4</c:v>
                </c:pt>
                <c:pt idx="16">
                  <c:v>1.3999999999999999E-4</c:v>
                </c:pt>
                <c:pt idx="17">
                  <c:v>1.6000000000000001E-4</c:v>
                </c:pt>
                <c:pt idx="18">
                  <c:v>1.8000000000000001E-4</c:v>
                </c:pt>
                <c:pt idx="19">
                  <c:v>2.2000000000000001E-4</c:v>
                </c:pt>
                <c:pt idx="20">
                  <c:v>2.2000000000000001E-4</c:v>
                </c:pt>
                <c:pt idx="21">
                  <c:v>2.3000000000000001E-4</c:v>
                </c:pt>
                <c:pt idx="22">
                  <c:v>2.3000000000000001E-4</c:v>
                </c:pt>
                <c:pt idx="23">
                  <c:v>2.3000000000000001E-4</c:v>
                </c:pt>
                <c:pt idx="24">
                  <c:v>2.2000000000000001E-4</c:v>
                </c:pt>
                <c:pt idx="25">
                  <c:v>2.1000000000000001E-4</c:v>
                </c:pt>
                <c:pt idx="26">
                  <c:v>2.0000000000000001E-4</c:v>
                </c:pt>
                <c:pt idx="27">
                  <c:v>1.9000000000000001E-4</c:v>
                </c:pt>
                <c:pt idx="28">
                  <c:v>1.9000000000000001E-4</c:v>
                </c:pt>
                <c:pt idx="29">
                  <c:v>1.9000000000000001E-4</c:v>
                </c:pt>
                <c:pt idx="30">
                  <c:v>2.1000000000000001E-4</c:v>
                </c:pt>
                <c:pt idx="31">
                  <c:v>2.3000000000000001E-4</c:v>
                </c:pt>
                <c:pt idx="32">
                  <c:v>2.5999999999999998E-4</c:v>
                </c:pt>
                <c:pt idx="33">
                  <c:v>2.7999999999999998E-4</c:v>
                </c:pt>
                <c:pt idx="34">
                  <c:v>2.9999999999999997E-4</c:v>
                </c:pt>
                <c:pt idx="35">
                  <c:v>3.2000000000000003E-4</c:v>
                </c:pt>
                <c:pt idx="36">
                  <c:v>3.3E-4</c:v>
                </c:pt>
                <c:pt idx="37">
                  <c:v>3.5E-4</c:v>
                </c:pt>
                <c:pt idx="38">
                  <c:v>4.0999999999999999E-4</c:v>
                </c:pt>
                <c:pt idx="39">
                  <c:v>5.5000000000000003E-4</c:v>
                </c:pt>
                <c:pt idx="40">
                  <c:v>8.8000000000000003E-4</c:v>
                </c:pt>
                <c:pt idx="41">
                  <c:v>1.5399999999999999E-3</c:v>
                </c:pt>
                <c:pt idx="42">
                  <c:v>2.7699999999999999E-3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CD-4840-A504-43023DB26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925536"/>
        <c:axId val="649931296"/>
      </c:scatterChart>
      <c:valAx>
        <c:axId val="649925536"/>
        <c:scaling>
          <c:orientation val="minMax"/>
          <c:max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31296"/>
        <c:crosses val="autoZero"/>
        <c:crossBetween val="midCat"/>
        <c:majorUnit val="1"/>
      </c:valAx>
      <c:valAx>
        <c:axId val="6499312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std dev,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25536"/>
        <c:crosses val="autoZero"/>
        <c:crossBetween val="midCat"/>
        <c:majorUnit val="1.0000000000000002E-3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71435</xdr:colOff>
      <xdr:row>11</xdr:row>
      <xdr:rowOff>100012</xdr:rowOff>
    </xdr:from>
    <xdr:to>
      <xdr:col>3</xdr:col>
      <xdr:colOff>80960</xdr:colOff>
      <xdr:row>14</xdr:row>
      <xdr:rowOff>72692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771947-E626-6E3E-5FA9-18CB61E42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135" y="2095500"/>
          <a:ext cx="1304925" cy="515605"/>
        </a:xfrm>
        <a:prstGeom prst="rect">
          <a:avLst/>
        </a:prstGeom>
      </xdr:spPr>
    </xdr:pic>
    <xdr:clientData/>
  </xdr:twoCellAnchor>
  <xdr:twoCellAnchor>
    <xdr:from>
      <xdr:col>4</xdr:col>
      <xdr:colOff>111916</xdr:colOff>
      <xdr:row>0</xdr:row>
      <xdr:rowOff>71436</xdr:rowOff>
    </xdr:from>
    <xdr:to>
      <xdr:col>11</xdr:col>
      <xdr:colOff>481011</xdr:colOff>
      <xdr:row>17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7B7CDF-EC86-A822-2880-468E50CB2F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33338</xdr:colOff>
      <xdr:row>18</xdr:row>
      <xdr:rowOff>33337</xdr:rowOff>
    </xdr:from>
    <xdr:to>
      <xdr:col>2</xdr:col>
      <xdr:colOff>79057</xdr:colOff>
      <xdr:row>20</xdr:row>
      <xdr:rowOff>28575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F357E013-4349-B589-37A0-D0625BF42814}"/>
            </a:ext>
          </a:extLst>
        </xdr:cNvPr>
        <xdr:cNvSpPr/>
      </xdr:nvSpPr>
      <xdr:spPr>
        <a:xfrm>
          <a:off x="1976438" y="2390775"/>
          <a:ext cx="45719" cy="357188"/>
        </a:xfrm>
        <a:prstGeom prst="righ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128588</xdr:colOff>
      <xdr:row>18</xdr:row>
      <xdr:rowOff>85725</xdr:rowOff>
    </xdr:from>
    <xdr:to>
      <xdr:col>3</xdr:col>
      <xdr:colOff>338138</xdr:colOff>
      <xdr:row>19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7C09D3-F791-AAEB-CA62-5E1B99C4E197}"/>
            </a:ext>
          </a:extLst>
        </xdr:cNvPr>
        <xdr:cNvSpPr txBox="1"/>
      </xdr:nvSpPr>
      <xdr:spPr>
        <a:xfrm>
          <a:off x="2071688" y="2443163"/>
          <a:ext cx="8572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Parameters</a:t>
          </a:r>
        </a:p>
      </xdr:txBody>
    </xdr:sp>
    <xdr:clientData/>
  </xdr:twoCellAnchor>
  <xdr:twoCellAnchor>
    <xdr:from>
      <xdr:col>8</xdr:col>
      <xdr:colOff>100013</xdr:colOff>
      <xdr:row>19</xdr:row>
      <xdr:rowOff>52386</xdr:rowOff>
    </xdr:from>
    <xdr:to>
      <xdr:col>8</xdr:col>
      <xdr:colOff>145732</xdr:colOff>
      <xdr:row>28</xdr:row>
      <xdr:rowOff>28574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id="{BF1094C0-1137-4D43-8FAC-6D37D6D9F9F1}"/>
            </a:ext>
          </a:extLst>
        </xdr:cNvPr>
        <xdr:cNvSpPr/>
      </xdr:nvSpPr>
      <xdr:spPr>
        <a:xfrm>
          <a:off x="5281613" y="3495674"/>
          <a:ext cx="45719" cy="1604963"/>
        </a:xfrm>
        <a:prstGeom prst="righ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176213</xdr:colOff>
      <xdr:row>22</xdr:row>
      <xdr:rowOff>4762</xdr:rowOff>
    </xdr:from>
    <xdr:to>
      <xdr:col>10</xdr:col>
      <xdr:colOff>276225</xdr:colOff>
      <xdr:row>25</xdr:row>
      <xdr:rowOff>33336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CF03F26-2608-4337-AC7A-C2A0CC7E552C}"/>
            </a:ext>
          </a:extLst>
        </xdr:cNvPr>
        <xdr:cNvSpPr txBox="1"/>
      </xdr:nvSpPr>
      <xdr:spPr>
        <a:xfrm>
          <a:off x="5357813" y="3990975"/>
          <a:ext cx="1395412" cy="571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Output of NLS procedure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442912</xdr:colOff>
      <xdr:row>16</xdr:row>
      <xdr:rowOff>123825</xdr:rowOff>
    </xdr:from>
    <xdr:to>
      <xdr:col>12</xdr:col>
      <xdr:colOff>119062</xdr:colOff>
      <xdr:row>20</xdr:row>
      <xdr:rowOff>109112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ABDBA3-6FAB-4DB8-8232-3440ED55A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5837" y="3019425"/>
          <a:ext cx="3814762" cy="709187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6</xdr:col>
      <xdr:colOff>345280</xdr:colOff>
      <xdr:row>0</xdr:row>
      <xdr:rowOff>152399</xdr:rowOff>
    </xdr:from>
    <xdr:to>
      <xdr:col>13</xdr:col>
      <xdr:colOff>228600</xdr:colOff>
      <xdr:row>15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6746FD-F36B-DD4D-91A6-ABC27561E8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392906</xdr:colOff>
      <xdr:row>0</xdr:row>
      <xdr:rowOff>135731</xdr:rowOff>
    </xdr:from>
    <xdr:to>
      <xdr:col>20</xdr:col>
      <xdr:colOff>504825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CAF42F7-29B4-E231-7ED6-121BB1069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609600</xdr:colOff>
      <xdr:row>22</xdr:row>
      <xdr:rowOff>19050</xdr:rowOff>
    </xdr:from>
    <xdr:to>
      <xdr:col>12</xdr:col>
      <xdr:colOff>7619</xdr:colOff>
      <xdr:row>24</xdr:row>
      <xdr:rowOff>4763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54D0B003-DC2C-C4AA-4356-F4C98E4FC1F4}"/>
            </a:ext>
          </a:extLst>
        </xdr:cNvPr>
        <xdr:cNvSpPr/>
      </xdr:nvSpPr>
      <xdr:spPr>
        <a:xfrm>
          <a:off x="8362950" y="4000500"/>
          <a:ext cx="45719" cy="347663"/>
        </a:xfrm>
        <a:prstGeom prst="righ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E4D9BA-D496-4A52-A88F-6A351D8F076C}" name="tblCBR" displayName="tblCBR" ref="A1:F44" totalsRowShown="0" headerRowDxfId="7" dataDxfId="6">
  <autoFilter ref="A1:F44" xr:uid="{E2E4D9BA-D496-4A52-A88F-6A351D8F076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2:F44">
    <sortCondition ref="A1:A44"/>
  </sortState>
  <tableColumns count="6">
    <tableColumn id="1" xr3:uid="{9F48AA24-1B0F-4733-85E5-291654CE2AC0}" name="wavenumber" dataDxfId="5"/>
    <tableColumn id="2" xr3:uid="{67EC87C5-D028-4CB6-8B83-1E2F73D28F81}" name="B_exp" dataDxfId="4"/>
    <tableColumn id="3" xr3:uid="{AE464632-4C05-4973-BDA7-958BBA44A94B}" name="std devs" dataDxfId="3"/>
    <tableColumn id="4" xr3:uid="{77912B0F-83CF-485B-91DD-000C1AE89814}" name="weights" dataDxfId="2">
      <calculatedColumnFormula>1/tblCBR[[#This Row],[std devs]]^2</calculatedColumnFormula>
    </tableColumn>
    <tableColumn id="5" xr3:uid="{BF0E49EE-332F-4E2C-A31D-82F46B310D21}" name="yhat" dataDxfId="1">
      <calculatedColumnFormula>b_1*tblCBR[[#This Row],[wavenumber]]^3/(EXP(b_2*tblCBR[[#This Row],[wavenumber]])-1)</calculatedColumnFormula>
    </tableColumn>
    <tableColumn id="6" xr3:uid="{75E56514-63ED-4A27-8B5D-43DA5A975028}" name="resids" dataDxfId="0">
      <calculatedColumnFormula>tblCBR[[#This Row],[B_exp]]-tblCBR[[#This Row],[yhat]]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6435B3-F1BA-43EB-A61A-1A2F5C29696F}">
  <we:reference id="wa200003696" version="1.3.0.0" store="en-US" storeType="OMEX"/>
  <we:alternateReferences>
    <we:reference id="wa200003696" version="1.3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45DC-0E8D-4DBF-92C2-63F0C1C2905D}">
  <sheetPr codeName="Sheet1"/>
  <dimension ref="A1:H28"/>
  <sheetViews>
    <sheetView workbookViewId="0">
      <selection activeCell="F20" sqref="F20"/>
    </sheetView>
  </sheetViews>
  <sheetFormatPr defaultRowHeight="14.25" x14ac:dyDescent="0.45"/>
  <sheetData>
    <row r="1" spans="1:4" ht="14.65" thickBot="1" x14ac:dyDescent="0.5">
      <c r="A1" s="5" t="s">
        <v>0</v>
      </c>
      <c r="B1" s="5" t="s">
        <v>1</v>
      </c>
      <c r="C1" s="6" t="s">
        <v>15</v>
      </c>
      <c r="D1" s="6" t="s">
        <v>4</v>
      </c>
    </row>
    <row r="2" spans="1:4" x14ac:dyDescent="0.45">
      <c r="A2" s="1">
        <v>2</v>
      </c>
      <c r="B2" s="1">
        <v>265</v>
      </c>
      <c r="C2" s="3">
        <f t="shared" ref="C2:C11" si="0">V_m*A2/(K_m+A2)</f>
        <v>343.64036390079264</v>
      </c>
      <c r="D2" s="3">
        <f>C2-B2</f>
        <v>78.640363900792636</v>
      </c>
    </row>
    <row r="3" spans="1:4" x14ac:dyDescent="0.45">
      <c r="A3" s="1">
        <v>4</v>
      </c>
      <c r="B3" s="1">
        <v>521</v>
      </c>
      <c r="C3" s="3">
        <f t="shared" si="0"/>
        <v>543.65844067044918</v>
      </c>
      <c r="D3" s="3">
        <f t="shared" ref="D3:D11" si="1">C3-B3</f>
        <v>22.658440670449181</v>
      </c>
    </row>
    <row r="4" spans="1:4" x14ac:dyDescent="0.45">
      <c r="A4" s="1">
        <v>6</v>
      </c>
      <c r="B4" s="1">
        <v>662</v>
      </c>
      <c r="C4" s="3">
        <f t="shared" si="0"/>
        <v>674.52993080615249</v>
      </c>
      <c r="D4" s="3">
        <f t="shared" si="1"/>
        <v>12.529930806152493</v>
      </c>
    </row>
    <row r="5" spans="1:4" x14ac:dyDescent="0.45">
      <c r="A5" s="1">
        <v>8</v>
      </c>
      <c r="B5" s="1">
        <v>885</v>
      </c>
      <c r="C5" s="3">
        <f t="shared" si="0"/>
        <v>766.82661391787553</v>
      </c>
      <c r="D5" s="3">
        <f t="shared" si="1"/>
        <v>-118.17338608212447</v>
      </c>
    </row>
    <row r="6" spans="1:4" x14ac:dyDescent="0.45">
      <c r="A6" s="1">
        <v>10</v>
      </c>
      <c r="B6" s="1">
        <v>884</v>
      </c>
      <c r="C6" s="3">
        <f t="shared" si="0"/>
        <v>835.41290163775795</v>
      </c>
      <c r="D6" s="3">
        <f t="shared" si="1"/>
        <v>-48.587098362242045</v>
      </c>
    </row>
    <row r="7" spans="1:4" x14ac:dyDescent="0.45">
      <c r="A7" s="1">
        <v>12</v>
      </c>
      <c r="B7" s="1">
        <v>852</v>
      </c>
      <c r="C7" s="3">
        <f t="shared" si="0"/>
        <v>888.385376263853</v>
      </c>
      <c r="D7" s="3">
        <f t="shared" si="1"/>
        <v>36.385376263853004</v>
      </c>
    </row>
    <row r="8" spans="1:4" x14ac:dyDescent="0.45">
      <c r="A8" s="1">
        <v>14</v>
      </c>
      <c r="B8" s="1">
        <v>932</v>
      </c>
      <c r="C8" s="3">
        <f t="shared" si="0"/>
        <v>930.53093985597729</v>
      </c>
      <c r="D8" s="3">
        <f t="shared" si="1"/>
        <v>-1.4690601440227056</v>
      </c>
    </row>
    <row r="9" spans="1:4" x14ac:dyDescent="0.45">
      <c r="A9" s="1">
        <v>16</v>
      </c>
      <c r="B9" s="1">
        <v>987</v>
      </c>
      <c r="C9" s="3">
        <f t="shared" si="0"/>
        <v>964.86115707320823</v>
      </c>
      <c r="D9" s="3">
        <f t="shared" si="1"/>
        <v>-22.138842926791767</v>
      </c>
    </row>
    <row r="10" spans="1:4" x14ac:dyDescent="0.45">
      <c r="A10" s="1">
        <v>18</v>
      </c>
      <c r="B10" s="1">
        <v>984</v>
      </c>
      <c r="C10" s="3">
        <f t="shared" si="0"/>
        <v>993.36545286905925</v>
      </c>
      <c r="D10" s="3">
        <f t="shared" si="1"/>
        <v>9.3654528690592542</v>
      </c>
    </row>
    <row r="11" spans="1:4" x14ac:dyDescent="0.45">
      <c r="A11" s="1">
        <v>20</v>
      </c>
      <c r="B11" s="1">
        <v>954</v>
      </c>
      <c r="C11" s="3">
        <f t="shared" si="0"/>
        <v>1017.4108437938011</v>
      </c>
      <c r="D11" s="3">
        <f t="shared" si="1"/>
        <v>63.410843793801064</v>
      </c>
    </row>
    <row r="19" spans="1:8" x14ac:dyDescent="0.45">
      <c r="A19" s="2" t="s">
        <v>2</v>
      </c>
      <c r="B19" s="1">
        <v>1300.793826094342</v>
      </c>
    </row>
    <row r="20" spans="1:8" x14ac:dyDescent="0.45">
      <c r="A20" s="2" t="s">
        <v>3</v>
      </c>
      <c r="B20" s="1">
        <v>5.5706695879874868</v>
      </c>
      <c r="F20" s="2" t="s">
        <v>6</v>
      </c>
      <c r="G20" s="1">
        <v>1300.793826094342</v>
      </c>
      <c r="H20" s="1">
        <v>5.5706695879874868</v>
      </c>
    </row>
    <row r="21" spans="1:8" x14ac:dyDescent="0.45">
      <c r="A21" s="2" t="s">
        <v>5</v>
      </c>
      <c r="B21" s="1">
        <f>SUMSQ(resids)</f>
        <v>29105.195167239835</v>
      </c>
      <c r="C21" t="s">
        <v>14</v>
      </c>
      <c r="F21" s="2" t="s">
        <v>7</v>
      </c>
      <c r="G21" s="1">
        <v>93.40646330600066</v>
      </c>
      <c r="H21" s="1">
        <v>1.1825648967808056</v>
      </c>
    </row>
    <row r="22" spans="1:8" x14ac:dyDescent="0.45">
      <c r="B22" s="4" t="str">
        <f ca="1">_xlfn.FORMULATEXT(B21)</f>
        <v>=SUMSQ(resids)</v>
      </c>
      <c r="F22" s="2" t="s">
        <v>8</v>
      </c>
      <c r="G22" s="1">
        <v>215.39569063843382</v>
      </c>
      <c r="H22" s="1">
        <v>2.7269995421238269</v>
      </c>
    </row>
    <row r="23" spans="1:8" x14ac:dyDescent="0.45">
      <c r="F23" s="2" t="s">
        <v>9</v>
      </c>
      <c r="G23" s="1">
        <v>60.317073834072715</v>
      </c>
      <c r="H23" s="1">
        <v>0.9364089905571723</v>
      </c>
    </row>
    <row r="24" spans="1:8" x14ac:dyDescent="0.45">
      <c r="F24" s="2" t="s">
        <v>10</v>
      </c>
      <c r="G24" s="1">
        <v>10</v>
      </c>
      <c r="H24" s="1">
        <v>8</v>
      </c>
    </row>
    <row r="25" spans="1:8" x14ac:dyDescent="0.45">
      <c r="F25" s="2" t="s">
        <v>11</v>
      </c>
      <c r="G25" s="1">
        <v>428588.35966470907</v>
      </c>
      <c r="H25" s="1">
        <v>29105.195167239835</v>
      </c>
    </row>
    <row r="26" spans="1:8" x14ac:dyDescent="0.45">
      <c r="F26" s="2" t="s">
        <v>12</v>
      </c>
      <c r="G26" s="1">
        <v>117.80394728900322</v>
      </c>
      <c r="H26" s="1">
        <v>4.5898453959474327E-6</v>
      </c>
    </row>
    <row r="27" spans="1:8" x14ac:dyDescent="0.45">
      <c r="F27" s="2" t="s">
        <v>13</v>
      </c>
      <c r="G27" s="1">
        <v>1</v>
      </c>
      <c r="H27" s="1">
        <v>0.94639544076669346</v>
      </c>
    </row>
    <row r="28" spans="1:8" x14ac:dyDescent="0.45">
      <c r="G28" s="1">
        <v>0.94639544076669346</v>
      </c>
      <c r="H28" s="1">
        <v>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29CC-8E2B-4ED7-A3D9-068C4AFFED23}">
  <dimension ref="A1:P44"/>
  <sheetViews>
    <sheetView tabSelected="1" workbookViewId="0">
      <selection activeCell="M41" sqref="M41"/>
    </sheetView>
  </sheetViews>
  <sheetFormatPr defaultRowHeight="14.25" x14ac:dyDescent="0.45"/>
  <cols>
    <col min="1" max="1" width="11.6640625" customWidth="1"/>
    <col min="5" max="5" width="11.73046875" bestFit="1" customWidth="1"/>
    <col min="9" max="9" width="10.46484375" bestFit="1" customWidth="1"/>
    <col min="10" max="10" width="10.265625" bestFit="1" customWidth="1"/>
    <col min="11" max="11" width="10" customWidth="1"/>
    <col min="13" max="13" width="11.1328125" customWidth="1"/>
  </cols>
  <sheetData>
    <row r="1" spans="1:6" x14ac:dyDescent="0.45">
      <c r="A1" s="1" t="s">
        <v>16</v>
      </c>
      <c r="B1" s="1" t="s">
        <v>17</v>
      </c>
      <c r="C1" s="1" t="s">
        <v>19</v>
      </c>
      <c r="D1" s="1" t="s">
        <v>18</v>
      </c>
      <c r="E1" s="1" t="s">
        <v>15</v>
      </c>
      <c r="F1" s="1" t="s">
        <v>4</v>
      </c>
    </row>
    <row r="2" spans="1:6" x14ac:dyDescent="0.45">
      <c r="A2" s="1">
        <v>2.27</v>
      </c>
      <c r="B2" s="1">
        <v>2.0110000000000001</v>
      </c>
      <c r="C2" s="1">
        <v>1.3999999999999999E-4</v>
      </c>
      <c r="D2" s="7">
        <f>1/tblCBR[[#This Row],[std devs]]^2</f>
        <v>51020408.163265318</v>
      </c>
      <c r="E2" s="10">
        <f>b_1*tblCBR[[#This Row],[wavenumber]]^3/(EXP(b_2*tblCBR[[#This Row],[wavenumber]])-1)</f>
        <v>2.011002504467323</v>
      </c>
      <c r="F2" s="7">
        <f>tblCBR[[#This Row],[B_exp]]-tblCBR[[#This Row],[yhat]]</f>
        <v>-2.504467322861359E-6</v>
      </c>
    </row>
    <row r="3" spans="1:6" x14ac:dyDescent="0.45">
      <c r="A3" s="1">
        <v>2.72</v>
      </c>
      <c r="B3" s="1">
        <v>2.5003000000000002</v>
      </c>
      <c r="C3" s="1">
        <v>1.9000000000000001E-4</v>
      </c>
      <c r="D3" s="7">
        <f>1/tblCBR[[#This Row],[std devs]]^2</f>
        <v>27700831.024930745</v>
      </c>
      <c r="E3" s="10">
        <f>b_1*tblCBR[[#This Row],[wavenumber]]^3/(EXP(b_2*tblCBR[[#This Row],[wavenumber]])-1)</f>
        <v>2.5002021579006191</v>
      </c>
      <c r="F3" s="7">
        <f>tblCBR[[#This Row],[B_exp]]-tblCBR[[#This Row],[yhat]]</f>
        <v>9.7842099381129088E-5</v>
      </c>
    </row>
    <row r="4" spans="1:6" x14ac:dyDescent="0.45">
      <c r="A4" s="1">
        <v>3.18</v>
      </c>
      <c r="B4" s="1">
        <v>2.9369000000000001</v>
      </c>
      <c r="C4" s="1">
        <v>2.5000000000000001E-4</v>
      </c>
      <c r="D4" s="7">
        <f>1/tblCBR[[#This Row],[std devs]]^2</f>
        <v>16000000</v>
      </c>
      <c r="E4" s="10">
        <f>b_1*tblCBR[[#This Row],[wavenumber]]^3/(EXP(b_2*tblCBR[[#This Row],[wavenumber]])-1)</f>
        <v>2.9367899807466928</v>
      </c>
      <c r="F4" s="7">
        <f>tblCBR[[#This Row],[B_exp]]-tblCBR[[#This Row],[yhat]]</f>
        <v>1.1001925330722528E-4</v>
      </c>
    </row>
    <row r="5" spans="1:6" x14ac:dyDescent="0.45">
      <c r="A5" s="1">
        <v>3.63</v>
      </c>
      <c r="B5" s="1">
        <v>3.2858000000000001</v>
      </c>
      <c r="C5" s="1">
        <v>2.3000000000000001E-4</v>
      </c>
      <c r="D5" s="7">
        <f>1/tblCBR[[#This Row],[std devs]]^2</f>
        <v>18903591.682419658</v>
      </c>
      <c r="E5" s="10">
        <f>b_1*tblCBR[[#This Row],[wavenumber]]^3/(EXP(b_2*tblCBR[[#This Row],[wavenumber]])-1)</f>
        <v>3.2858163901310022</v>
      </c>
      <c r="F5" s="7">
        <f>tblCBR[[#This Row],[B_exp]]-tblCBR[[#This Row],[yhat]]</f>
        <v>-1.6390131002186337E-5</v>
      </c>
    </row>
    <row r="6" spans="1:6" x14ac:dyDescent="0.45">
      <c r="A6" s="1">
        <v>4.08</v>
      </c>
      <c r="B6" s="1">
        <v>3.5503</v>
      </c>
      <c r="C6" s="1">
        <v>2.2000000000000001E-4</v>
      </c>
      <c r="D6" s="7">
        <f>1/tblCBR[[#This Row],[std devs]]^2</f>
        <v>20661157.024793386</v>
      </c>
      <c r="E6" s="10">
        <f>b_1*tblCBR[[#This Row],[wavenumber]]^3/(EXP(b_2*tblCBR[[#This Row],[wavenumber]])-1)</f>
        <v>3.5501689381430883</v>
      </c>
      <c r="F6" s="7">
        <f>tblCBR[[#This Row],[B_exp]]-tblCBR[[#This Row],[yhat]]</f>
        <v>1.3106185691169614E-4</v>
      </c>
    </row>
    <row r="7" spans="1:6" x14ac:dyDescent="0.45">
      <c r="A7" s="1">
        <v>4.54</v>
      </c>
      <c r="B7" s="1">
        <v>3.7315999999999998</v>
      </c>
      <c r="C7" s="1">
        <v>2.1000000000000001E-4</v>
      </c>
      <c r="D7" s="7">
        <f>1/tblCBR[[#This Row],[std devs]]^2</f>
        <v>22675736.961451244</v>
      </c>
      <c r="E7" s="10">
        <f>b_1*tblCBR[[#This Row],[wavenumber]]^3/(EXP(b_2*tblCBR[[#This Row],[wavenumber]])-1)</f>
        <v>3.7319405799710914</v>
      </c>
      <c r="F7" s="7">
        <f>tblCBR[[#This Row],[B_exp]]-tblCBR[[#This Row],[yhat]]</f>
        <v>-3.4057997109160354E-4</v>
      </c>
    </row>
    <row r="8" spans="1:6" x14ac:dyDescent="0.45">
      <c r="A8" s="1">
        <v>4.99</v>
      </c>
      <c r="B8" s="1">
        <v>3.8269000000000002</v>
      </c>
      <c r="C8" s="1">
        <v>1.8000000000000001E-4</v>
      </c>
      <c r="D8" s="7">
        <f>1/tblCBR[[#This Row],[std devs]]^2</f>
        <v>30864197.530864194</v>
      </c>
      <c r="E8" s="10">
        <f>b_1*tblCBR[[#This Row],[wavenumber]]^3/(EXP(b_2*tblCBR[[#This Row],[wavenumber]])-1)</f>
        <v>3.8272049477479295</v>
      </c>
      <c r="F8" s="7">
        <f>tblCBR[[#This Row],[B_exp]]-tblCBR[[#This Row],[yhat]]</f>
        <v>-3.0494774792932944E-4</v>
      </c>
    </row>
    <row r="9" spans="1:6" x14ac:dyDescent="0.45">
      <c r="A9" s="1">
        <v>5.45</v>
      </c>
      <c r="B9" s="1">
        <v>3.8477000000000001</v>
      </c>
      <c r="C9" s="1">
        <v>1.8000000000000001E-4</v>
      </c>
      <c r="D9" s="7">
        <f>1/tblCBR[[#This Row],[std devs]]^2</f>
        <v>30864197.530864194</v>
      </c>
      <c r="E9" s="10">
        <f>b_1*tblCBR[[#This Row],[wavenumber]]^3/(EXP(b_2*tblCBR[[#This Row],[wavenumber]])-1)</f>
        <v>3.8478015875734624</v>
      </c>
      <c r="F9" s="7">
        <f>tblCBR[[#This Row],[B_exp]]-tblCBR[[#This Row],[yhat]]</f>
        <v>-1.0158757346223624E-4</v>
      </c>
    </row>
    <row r="10" spans="1:6" x14ac:dyDescent="0.45">
      <c r="A10" s="1">
        <v>5.9</v>
      </c>
      <c r="B10" s="1">
        <v>3.8027000000000002</v>
      </c>
      <c r="C10" s="1">
        <v>1.6000000000000001E-4</v>
      </c>
      <c r="D10" s="7">
        <f>1/tblCBR[[#This Row],[std devs]]^2</f>
        <v>39062499.999999993</v>
      </c>
      <c r="E10" s="10">
        <f>b_1*tblCBR[[#This Row],[wavenumber]]^3/(EXP(b_2*tblCBR[[#This Row],[wavenumber]])-1)</f>
        <v>3.802341267036784</v>
      </c>
      <c r="F10" s="7">
        <f>tblCBR[[#This Row],[B_exp]]-tblCBR[[#This Row],[yhat]]</f>
        <v>3.5873296321620174E-4</v>
      </c>
    </row>
    <row r="11" spans="1:6" x14ac:dyDescent="0.45">
      <c r="A11" s="1">
        <v>6.35</v>
      </c>
      <c r="B11" s="1">
        <v>3.7025000000000001</v>
      </c>
      <c r="C11" s="1">
        <v>1.3999999999999999E-4</v>
      </c>
      <c r="D11" s="7">
        <f>1/tblCBR[[#This Row],[std devs]]^2</f>
        <v>51020408.163265318</v>
      </c>
      <c r="E11" s="10">
        <f>b_1*tblCBR[[#This Row],[wavenumber]]^3/(EXP(b_2*tblCBR[[#This Row],[wavenumber]])-1)</f>
        <v>3.7024437097326159</v>
      </c>
      <c r="F11" s="7">
        <f>tblCBR[[#This Row],[B_exp]]-tblCBR[[#This Row],[yhat]]</f>
        <v>5.6290267384184745E-5</v>
      </c>
    </row>
    <row r="12" spans="1:6" x14ac:dyDescent="0.45">
      <c r="A12" s="1">
        <v>6.81</v>
      </c>
      <c r="B12" s="1">
        <v>3.5550999999999999</v>
      </c>
      <c r="C12" s="1">
        <v>1.2999999999999999E-4</v>
      </c>
      <c r="D12" s="7">
        <f>1/tblCBR[[#This Row],[std devs]]^2</f>
        <v>59171597.633136109</v>
      </c>
      <c r="E12" s="10">
        <f>b_1*tblCBR[[#This Row],[wavenumber]]^3/(EXP(b_2*tblCBR[[#This Row],[wavenumber]])-1)</f>
        <v>3.5551124866991644</v>
      </c>
      <c r="F12" s="7">
        <f>tblCBR[[#This Row],[B_exp]]-tblCBR[[#This Row],[yhat]]</f>
        <v>-1.2486699164426796E-5</v>
      </c>
    </row>
    <row r="13" spans="1:6" x14ac:dyDescent="0.45">
      <c r="A13" s="1">
        <v>7.26</v>
      </c>
      <c r="B13" s="1">
        <v>3.3773</v>
      </c>
      <c r="C13" s="1">
        <v>1.2E-4</v>
      </c>
      <c r="D13" s="7">
        <f>1/tblCBR[[#This Row],[std devs]]^2</f>
        <v>69444444.444444448</v>
      </c>
      <c r="E13" s="10">
        <f>b_1*tblCBR[[#This Row],[wavenumber]]^3/(EXP(b_2*tblCBR[[#This Row],[wavenumber]])-1)</f>
        <v>3.3772011901543424</v>
      </c>
      <c r="F13" s="7">
        <f>tblCBR[[#This Row],[B_exp]]-tblCBR[[#This Row],[yhat]]</f>
        <v>9.8809845657577E-5</v>
      </c>
    </row>
    <row r="14" spans="1:6" x14ac:dyDescent="0.45">
      <c r="A14" s="1">
        <v>7.71</v>
      </c>
      <c r="B14" s="1">
        <v>3.1751999999999998</v>
      </c>
      <c r="C14" s="1">
        <v>1.1E-4</v>
      </c>
      <c r="D14" s="7">
        <f>1/tblCBR[[#This Row],[std devs]]^2</f>
        <v>82644628.099173546</v>
      </c>
      <c r="E14" s="10">
        <f>b_1*tblCBR[[#This Row],[wavenumber]]^3/(EXP(b_2*tblCBR[[#This Row],[wavenumber]])-1)</f>
        <v>3.1754386773938688</v>
      </c>
      <c r="F14" s="7">
        <f>tblCBR[[#This Row],[B_exp]]-tblCBR[[#This Row],[yhat]]</f>
        <v>-2.3867739386895792E-4</v>
      </c>
    </row>
    <row r="15" spans="1:6" x14ac:dyDescent="0.45">
      <c r="A15" s="1">
        <v>8.17</v>
      </c>
      <c r="B15" s="1">
        <v>2.9535</v>
      </c>
      <c r="C15" s="1">
        <v>1E-4</v>
      </c>
      <c r="D15" s="7">
        <f>1/tblCBR[[#This Row],[std devs]]^2</f>
        <v>100000000</v>
      </c>
      <c r="E15" s="10">
        <f>b_1*tblCBR[[#This Row],[wavenumber]]^3/(EXP(b_2*tblCBR[[#This Row],[wavenumber]])-1)</f>
        <v>2.953349077936223</v>
      </c>
      <c r="F15" s="7">
        <f>tblCBR[[#This Row],[B_exp]]-tblCBR[[#This Row],[yhat]]</f>
        <v>1.5092206377698147E-4</v>
      </c>
    </row>
    <row r="16" spans="1:6" x14ac:dyDescent="0.45">
      <c r="A16" s="1">
        <v>8.6199999999999992</v>
      </c>
      <c r="B16" s="1">
        <v>2.7281</v>
      </c>
      <c r="C16" s="1">
        <v>1.1E-4</v>
      </c>
      <c r="D16" s="7">
        <f>1/tblCBR[[#This Row],[std devs]]^2</f>
        <v>82644628.099173546</v>
      </c>
      <c r="E16" s="10">
        <f>b_1*tblCBR[[#This Row],[wavenumber]]^3/(EXP(b_2*tblCBR[[#This Row],[wavenumber]])-1)</f>
        <v>2.7280259602502519</v>
      </c>
      <c r="F16" s="7">
        <f>tblCBR[[#This Row],[B_exp]]-tblCBR[[#This Row],[yhat]]</f>
        <v>7.4039749748067152E-5</v>
      </c>
    </row>
    <row r="17" spans="1:15" x14ac:dyDescent="0.45">
      <c r="A17" s="1">
        <v>9.08</v>
      </c>
      <c r="B17" s="1">
        <v>2.4956999999999998</v>
      </c>
      <c r="C17" s="1">
        <v>1.2E-4</v>
      </c>
      <c r="D17" s="7">
        <f>1/tblCBR[[#This Row],[std devs]]^2</f>
        <v>69444444.444444448</v>
      </c>
      <c r="E17" s="10">
        <f>b_1*tblCBR[[#This Row],[wavenumber]]^3/(EXP(b_2*tblCBR[[#This Row],[wavenumber]])-1)</f>
        <v>2.4958526516624753</v>
      </c>
      <c r="F17" s="7">
        <f>tblCBR[[#This Row],[B_exp]]-tblCBR[[#This Row],[yhat]]</f>
        <v>-1.5265166247546702E-4</v>
      </c>
    </row>
    <row r="18" spans="1:15" x14ac:dyDescent="0.45">
      <c r="A18" s="1">
        <v>9.5299999999999994</v>
      </c>
      <c r="B18" s="1">
        <v>2.2721</v>
      </c>
      <c r="C18" s="1">
        <v>1.3999999999999999E-4</v>
      </c>
      <c r="D18" s="7">
        <f>1/tblCBR[[#This Row],[std devs]]^2</f>
        <v>51020408.163265318</v>
      </c>
      <c r="E18" s="10">
        <f>b_1*tblCBR[[#This Row],[wavenumber]]^3/(EXP(b_2*tblCBR[[#This Row],[wavenumber]])-1)</f>
        <v>2.2719450465165845</v>
      </c>
      <c r="F18" s="7">
        <f>tblCBR[[#This Row],[B_exp]]-tblCBR[[#This Row],[yhat]]</f>
        <v>1.5495348341554305E-4</v>
      </c>
    </row>
    <row r="19" spans="1:15" x14ac:dyDescent="0.45">
      <c r="A19" s="1">
        <v>9.98</v>
      </c>
      <c r="B19" s="1">
        <v>2.0552000000000001</v>
      </c>
      <c r="C19" s="1">
        <v>1.6000000000000001E-4</v>
      </c>
      <c r="D19" s="7">
        <f>1/tblCBR[[#This Row],[std devs]]^2</f>
        <v>39062499.999999993</v>
      </c>
      <c r="E19" s="10">
        <f>b_1*tblCBR[[#This Row],[wavenumber]]^3/(EXP(b_2*tblCBR[[#This Row],[wavenumber]])-1)</f>
        <v>2.0550952579488939</v>
      </c>
      <c r="F19" s="7">
        <f>tblCBR[[#This Row],[B_exp]]-tblCBR[[#This Row],[yhat]]</f>
        <v>1.0474205110622137E-4</v>
      </c>
    </row>
    <row r="20" spans="1:15" x14ac:dyDescent="0.45">
      <c r="A20" s="1">
        <v>10.44</v>
      </c>
      <c r="B20" s="1">
        <v>1.8438000000000001</v>
      </c>
      <c r="C20" s="1">
        <v>1.8000000000000001E-4</v>
      </c>
      <c r="D20" s="7">
        <f>1/tblCBR[[#This Row],[std devs]]^2</f>
        <v>30864197.530864194</v>
      </c>
      <c r="E20" s="10">
        <f>b_1*tblCBR[[#This Row],[wavenumber]]^3/(EXP(b_2*tblCBR[[#This Row],[wavenumber]])-1)</f>
        <v>1.8437063380213747</v>
      </c>
      <c r="F20" s="7">
        <f>tblCBR[[#This Row],[B_exp]]-tblCBR[[#This Row],[yhat]]</f>
        <v>9.3661978625370068E-5</v>
      </c>
    </row>
    <row r="21" spans="1:15" x14ac:dyDescent="0.45">
      <c r="A21" s="1">
        <v>10.89</v>
      </c>
      <c r="B21" s="1">
        <v>1.6488</v>
      </c>
      <c r="C21" s="1">
        <v>2.2000000000000001E-4</v>
      </c>
      <c r="D21" s="7">
        <f>1/tblCBR[[#This Row],[std devs]]^2</f>
        <v>20661157.024793386</v>
      </c>
      <c r="E21" s="10">
        <f>b_1*tblCBR[[#This Row],[wavenumber]]^3/(EXP(b_2*tblCBR[[#This Row],[wavenumber]])-1)</f>
        <v>1.6490235770122001</v>
      </c>
      <c r="F21" s="7">
        <f>tblCBR[[#This Row],[B_exp]]-tblCBR[[#This Row],[yhat]]</f>
        <v>-2.2357701220010462E-4</v>
      </c>
    </row>
    <row r="22" spans="1:15" x14ac:dyDescent="0.45">
      <c r="A22" s="1">
        <v>11.34</v>
      </c>
      <c r="B22" s="1">
        <v>1.4672000000000001</v>
      </c>
      <c r="C22" s="1">
        <v>2.2000000000000001E-4</v>
      </c>
      <c r="D22" s="7">
        <f>1/tblCBR[[#This Row],[std devs]]^2</f>
        <v>20661157.024793386</v>
      </c>
      <c r="E22" s="10">
        <f>b_1*tblCBR[[#This Row],[wavenumber]]^3/(EXP(b_2*tblCBR[[#This Row],[wavenumber]])-1)</f>
        <v>1.4676233517649466</v>
      </c>
      <c r="F22" s="7">
        <f>tblCBR[[#This Row],[B_exp]]-tblCBR[[#This Row],[yhat]]</f>
        <v>-4.2335176494656679E-4</v>
      </c>
    </row>
    <row r="23" spans="1:15" x14ac:dyDescent="0.45">
      <c r="A23" s="1">
        <v>11.8</v>
      </c>
      <c r="B23" s="1">
        <v>1.2972999999999999</v>
      </c>
      <c r="C23" s="1">
        <v>2.3000000000000001E-4</v>
      </c>
      <c r="D23" s="7">
        <f>1/tblCBR[[#This Row],[std devs]]^2</f>
        <v>18903591.682419658</v>
      </c>
      <c r="E23" s="10">
        <f>b_1*tblCBR[[#This Row],[wavenumber]]^3/(EXP(b_2*tblCBR[[#This Row],[wavenumber]])-1)</f>
        <v>1.2966448634448631</v>
      </c>
      <c r="F23" s="7">
        <f>tblCBR[[#This Row],[B_exp]]-tblCBR[[#This Row],[yhat]]</f>
        <v>6.55136555136826E-4</v>
      </c>
      <c r="H23" s="33" t="s">
        <v>20</v>
      </c>
      <c r="I23" s="33"/>
      <c r="K23" s="2" t="s">
        <v>24</v>
      </c>
      <c r="L23" s="1">
        <v>0.39729770925754848</v>
      </c>
      <c r="M23" s="34" t="s">
        <v>27</v>
      </c>
    </row>
    <row r="24" spans="1:15" x14ac:dyDescent="0.45">
      <c r="A24" s="1">
        <v>12.25</v>
      </c>
      <c r="B24" s="1">
        <v>1.1437999999999999</v>
      </c>
      <c r="C24" s="1">
        <v>2.3000000000000001E-4</v>
      </c>
      <c r="D24" s="7">
        <f>1/tblCBR[[#This Row],[std devs]]^2</f>
        <v>18903591.682419658</v>
      </c>
      <c r="E24" s="10">
        <f>b_1*tblCBR[[#This Row],[wavenumber]]^3/(EXP(b_2*tblCBR[[#This Row],[wavenumber]])-1)</f>
        <v>1.1437420240452063</v>
      </c>
      <c r="F24" s="7">
        <f>tblCBR[[#This Row],[B_exp]]-tblCBR[[#This Row],[yhat]]</f>
        <v>5.7975954793620943E-5</v>
      </c>
      <c r="H24" s="2" t="s">
        <v>21</v>
      </c>
      <c r="I24" s="8">
        <v>6.6260701000000003E-34</v>
      </c>
      <c r="K24" s="2" t="s">
        <v>25</v>
      </c>
      <c r="L24" s="1">
        <v>0.52740962312073381</v>
      </c>
      <c r="M24" s="34"/>
    </row>
    <row r="25" spans="1:15" x14ac:dyDescent="0.45">
      <c r="A25" s="1">
        <v>12.71</v>
      </c>
      <c r="B25" s="1">
        <v>1.0019</v>
      </c>
      <c r="C25" s="1">
        <v>2.3000000000000001E-4</v>
      </c>
      <c r="D25" s="7">
        <f>1/tblCBR[[#This Row],[std devs]]^2</f>
        <v>18903591.682419658</v>
      </c>
      <c r="E25" s="10">
        <f>b_1*tblCBR[[#This Row],[wavenumber]]^3/(EXP(b_2*tblCBR[[#This Row],[wavenumber]])-1)</f>
        <v>1.0019509805373534</v>
      </c>
      <c r="F25" s="7">
        <f>tblCBR[[#This Row],[B_exp]]-tblCBR[[#This Row],[yhat]]</f>
        <v>-5.0980537353417787E-5</v>
      </c>
      <c r="H25" s="2" t="s">
        <v>22</v>
      </c>
      <c r="I25">
        <v>299792458</v>
      </c>
      <c r="K25" s="2" t="s">
        <v>5</v>
      </c>
      <c r="L25" s="7" cm="1">
        <f t="array" ref="L25">SUM(tblCBR[resids]^2)</f>
        <v>2.1749382186452033E-5</v>
      </c>
      <c r="M25" t="s">
        <v>26</v>
      </c>
    </row>
    <row r="26" spans="1:15" ht="18" x14ac:dyDescent="0.55000000000000004">
      <c r="A26" s="1">
        <v>13.16</v>
      </c>
      <c r="B26" s="1">
        <v>0.87709999999999999</v>
      </c>
      <c r="C26" s="1">
        <v>2.2000000000000001E-4</v>
      </c>
      <c r="D26" s="7">
        <f>1/tblCBR[[#This Row],[std devs]]^2</f>
        <v>20661157.024793386</v>
      </c>
      <c r="E26" s="10">
        <f>b_1*tblCBR[[#This Row],[wavenumber]]^3/(EXP(b_2*tblCBR[[#This Row],[wavenumber]])-1)</f>
        <v>0.87698429503415265</v>
      </c>
      <c r="F26" s="7">
        <f>tblCBR[[#This Row],[B_exp]]-tblCBR[[#This Row],[yhat]]</f>
        <v>1.157049658473408E-4</v>
      </c>
      <c r="H26" s="2" t="s">
        <v>23</v>
      </c>
      <c r="I26" s="9">
        <v>1.3806490000000001E-23</v>
      </c>
      <c r="L26" s="11" t="str">
        <f ca="1">_xlfn.FORMULATEXT(L25)</f>
        <v>=SUM(tblCBR[resids]^2)</v>
      </c>
    </row>
    <row r="27" spans="1:15" ht="14.65" thickBot="1" x14ac:dyDescent="0.5">
      <c r="A27" s="1">
        <v>13.61</v>
      </c>
      <c r="B27" s="1">
        <v>0.76480000000000004</v>
      </c>
      <c r="C27" s="1">
        <v>2.1000000000000001E-4</v>
      </c>
      <c r="D27" s="7">
        <f>1/tblCBR[[#This Row],[std devs]]^2</f>
        <v>22675736.961451244</v>
      </c>
      <c r="E27" s="10">
        <f>b_1*tblCBR[[#This Row],[wavenumber]]^3/(EXP(b_2*tblCBR[[#This Row],[wavenumber]])-1)</f>
        <v>0.76495639031774176</v>
      </c>
      <c r="F27" s="7">
        <f>tblCBR[[#This Row],[B_exp]]-tblCBR[[#This Row],[yhat]]</f>
        <v>-1.5639031774172807E-4</v>
      </c>
    </row>
    <row r="28" spans="1:15" x14ac:dyDescent="0.45">
      <c r="A28" s="1">
        <v>14.07</v>
      </c>
      <c r="B28" s="1">
        <v>0.66310000000000002</v>
      </c>
      <c r="C28" s="1">
        <v>2.0000000000000001E-4</v>
      </c>
      <c r="D28" s="7">
        <f>1/tblCBR[[#This Row],[std devs]]^2</f>
        <v>25000000</v>
      </c>
      <c r="E28" s="10">
        <f>b_1*tblCBR[[#This Row],[wavenumber]]^3/(EXP(b_2*tblCBR[[#This Row],[wavenumber]])-1)</f>
        <v>0.66299407282711487</v>
      </c>
      <c r="F28" s="7">
        <f>tblCBR[[#This Row],[B_exp]]-tblCBR[[#This Row],[yhat]]</f>
        <v>1.059271728851563E-4</v>
      </c>
      <c r="I28" s="12" t="s">
        <v>6</v>
      </c>
      <c r="J28" s="13">
        <v>0.3972895454322295</v>
      </c>
      <c r="K28" s="14">
        <v>0.52740626220317088</v>
      </c>
      <c r="M28" s="31" t="s">
        <v>6</v>
      </c>
      <c r="N28" s="13">
        <v>0.39729770925754848</v>
      </c>
      <c r="O28" s="14">
        <v>0.52740962312073381</v>
      </c>
    </row>
    <row r="29" spans="1:15" x14ac:dyDescent="0.45">
      <c r="A29" s="1">
        <v>14.52</v>
      </c>
      <c r="B29" s="1">
        <v>0.57489999999999997</v>
      </c>
      <c r="C29" s="1">
        <v>1.9000000000000001E-4</v>
      </c>
      <c r="D29" s="7">
        <f>1/tblCBR[[#This Row],[std devs]]^2</f>
        <v>27700831.024930745</v>
      </c>
      <c r="E29" s="10">
        <f>b_1*tblCBR[[#This Row],[wavenumber]]^3/(EXP(b_2*tblCBR[[#This Row],[wavenumber]])-1)</f>
        <v>0.57464448683652503</v>
      </c>
      <c r="F29" s="7">
        <f>tblCBR[[#This Row],[B_exp]]-tblCBR[[#This Row],[yhat]]</f>
        <v>2.555131634749408E-4</v>
      </c>
      <c r="I29" s="15" t="s">
        <v>7</v>
      </c>
      <c r="J29" s="20">
        <v>1.8091262373765346E-5</v>
      </c>
      <c r="K29" s="21">
        <v>6.1497168170020118E-6</v>
      </c>
      <c r="M29" s="32" t="s">
        <v>7</v>
      </c>
      <c r="N29" s="20">
        <v>6.3858354092742484E-5</v>
      </c>
      <c r="O29" s="21">
        <v>2.2687188904505379E-5</v>
      </c>
    </row>
    <row r="30" spans="1:15" x14ac:dyDescent="0.45">
      <c r="A30" s="1">
        <v>14.97</v>
      </c>
      <c r="B30" s="1">
        <v>0.4965</v>
      </c>
      <c r="C30" s="1">
        <v>1.9000000000000001E-4</v>
      </c>
      <c r="D30" s="7">
        <f>1/tblCBR[[#This Row],[std devs]]^2</f>
        <v>27700831.024930745</v>
      </c>
      <c r="E30" s="10">
        <f>b_1*tblCBR[[#This Row],[wavenumber]]^3/(EXP(b_2*tblCBR[[#This Row],[wavenumber]])-1)</f>
        <v>0.49664773173179416</v>
      </c>
      <c r="F30" s="7">
        <f>tblCBR[[#This Row],[B_exp]]-tblCBR[[#This Row],[yhat]]</f>
        <v>-1.477317317941651E-4</v>
      </c>
      <c r="I30" s="15" t="s">
        <v>8</v>
      </c>
      <c r="J30" s="1">
        <v>3.6536045570823635E-5</v>
      </c>
      <c r="K30" s="16">
        <v>1.2419605068547897E-5</v>
      </c>
      <c r="M30" s="32" t="s">
        <v>8</v>
      </c>
      <c r="N30" s="1">
        <v>1.2896456239524623E-4</v>
      </c>
      <c r="O30" s="16">
        <v>4.5817707496791626E-5</v>
      </c>
    </row>
    <row r="31" spans="1:15" x14ac:dyDescent="0.45">
      <c r="A31" s="1">
        <v>15.43</v>
      </c>
      <c r="B31" s="1">
        <v>0.42649999999999999</v>
      </c>
      <c r="C31" s="1">
        <v>1.9000000000000001E-4</v>
      </c>
      <c r="D31" s="7">
        <f>1/tblCBR[[#This Row],[std devs]]^2</f>
        <v>27700831.024930745</v>
      </c>
      <c r="E31" s="10">
        <f>b_1*tblCBR[[#This Row],[wavenumber]]^3/(EXP(b_2*tblCBR[[#This Row],[wavenumber]])-1)</f>
        <v>0.42666053433194312</v>
      </c>
      <c r="F31" s="7">
        <f>tblCBR[[#This Row],[B_exp]]-tblCBR[[#This Row],[yhat]]</f>
        <v>-1.605343319431296E-4</v>
      </c>
      <c r="I31" s="15" t="s">
        <v>9</v>
      </c>
      <c r="J31" s="1">
        <v>1.0787708032471921</v>
      </c>
      <c r="K31" s="16">
        <v>0.9999999732790027</v>
      </c>
      <c r="M31" s="32" t="s">
        <v>9</v>
      </c>
      <c r="N31" s="1">
        <v>7.283355931539579E-4</v>
      </c>
      <c r="O31" s="16">
        <v>0.99999972999567877</v>
      </c>
    </row>
    <row r="32" spans="1:15" x14ac:dyDescent="0.45">
      <c r="A32" s="1">
        <v>15.88</v>
      </c>
      <c r="B32" s="1">
        <v>0.3669</v>
      </c>
      <c r="C32" s="1">
        <v>2.1000000000000001E-4</v>
      </c>
      <c r="D32" s="7">
        <f>1/tblCBR[[#This Row],[std devs]]^2</f>
        <v>22675736.961451244</v>
      </c>
      <c r="E32" s="10">
        <f>b_1*tblCBR[[#This Row],[wavenumber]]^3/(EXP(b_2*tblCBR[[#This Row],[wavenumber]])-1)</f>
        <v>0.36680595480244721</v>
      </c>
      <c r="F32" s="7">
        <f>tblCBR[[#This Row],[B_exp]]-tblCBR[[#This Row],[yhat]]</f>
        <v>9.4045197552794502E-5</v>
      </c>
      <c r="I32" s="15" t="s">
        <v>10</v>
      </c>
      <c r="J32" s="1">
        <v>43</v>
      </c>
      <c r="K32" s="16">
        <v>41</v>
      </c>
      <c r="M32" s="32" t="s">
        <v>10</v>
      </c>
      <c r="N32" s="1">
        <v>43</v>
      </c>
      <c r="O32" s="16">
        <v>41</v>
      </c>
    </row>
    <row r="33" spans="1:16" x14ac:dyDescent="0.45">
      <c r="A33" s="1">
        <v>16.34</v>
      </c>
      <c r="B33" s="1">
        <v>0.31359999999999999</v>
      </c>
      <c r="C33" s="1">
        <v>2.3000000000000001E-4</v>
      </c>
      <c r="D33" s="7">
        <f>1/tblCBR[[#This Row],[std devs]]^2</f>
        <v>18903591.682419658</v>
      </c>
      <c r="E33" s="10">
        <f>b_1*tblCBR[[#This Row],[wavenumber]]^3/(EXP(b_2*tblCBR[[#This Row],[wavenumber]])-1)</f>
        <v>0.31351330029120777</v>
      </c>
      <c r="F33" s="7">
        <f>tblCBR[[#This Row],[B_exp]]-tblCBR[[#This Row],[yhat]]</f>
        <v>8.6699708792215002E-5</v>
      </c>
      <c r="I33" s="15" t="s">
        <v>11</v>
      </c>
      <c r="J33" s="1">
        <v>1785622082.0933862</v>
      </c>
      <c r="K33" s="16">
        <v>47.713604283482283</v>
      </c>
      <c r="M33" s="32" t="s">
        <v>11</v>
      </c>
      <c r="N33" s="1">
        <v>80.551956394712278</v>
      </c>
      <c r="O33" s="16">
        <v>2.1749382186452033E-5</v>
      </c>
    </row>
    <row r="34" spans="1:16" x14ac:dyDescent="0.45">
      <c r="A34" s="1">
        <v>16.79</v>
      </c>
      <c r="B34" s="1">
        <v>0.26840000000000003</v>
      </c>
      <c r="C34" s="1">
        <v>2.5999999999999998E-4</v>
      </c>
      <c r="D34" s="7">
        <f>1/tblCBR[[#This Row],[std devs]]^2</f>
        <v>14792899.408284027</v>
      </c>
      <c r="E34" s="10">
        <f>b_1*tblCBR[[#This Row],[wavenumber]]^3/(EXP(b_2*tblCBR[[#This Row],[wavenumber]])-1)</f>
        <v>0.26826395037382056</v>
      </c>
      <c r="F34" s="7">
        <f>tblCBR[[#This Row],[B_exp]]-tblCBR[[#This Row],[yhat]]</f>
        <v>1.3604962617946859E-4</v>
      </c>
      <c r="I34" s="15" t="s">
        <v>12</v>
      </c>
      <c r="J34" s="1">
        <v>1534373821.9997182</v>
      </c>
      <c r="K34" s="16">
        <v>6.9723614183731898E-157</v>
      </c>
      <c r="M34" s="32" t="s">
        <v>12</v>
      </c>
      <c r="N34" s="1">
        <v>151849380.54196563</v>
      </c>
      <c r="O34" s="16">
        <v>2.7289775891783716E-136</v>
      </c>
    </row>
    <row r="35" spans="1:16" x14ac:dyDescent="0.45">
      <c r="A35" s="1">
        <v>17.239999999999998</v>
      </c>
      <c r="B35" s="1">
        <v>0.22869999999999999</v>
      </c>
      <c r="C35" s="1">
        <v>2.7999999999999998E-4</v>
      </c>
      <c r="D35" s="7">
        <f>1/tblCBR[[#This Row],[std devs]]^2</f>
        <v>12755102.040816329</v>
      </c>
      <c r="E35" s="10">
        <f>b_1*tblCBR[[#This Row],[wavenumber]]^3/(EXP(b_2*tblCBR[[#This Row],[wavenumber]])-1)</f>
        <v>0.22905297259957907</v>
      </c>
      <c r="F35" s="7">
        <f>tblCBR[[#This Row],[B_exp]]-tblCBR[[#This Row],[yhat]]</f>
        <v>-3.5297259957908778E-4</v>
      </c>
      <c r="I35" s="15" t="s">
        <v>13</v>
      </c>
      <c r="J35" s="1">
        <v>1</v>
      </c>
      <c r="K35" s="16">
        <v>0.96659308147347056</v>
      </c>
      <c r="M35" s="32" t="s">
        <v>13</v>
      </c>
      <c r="N35" s="1">
        <v>1</v>
      </c>
      <c r="O35" s="16">
        <v>0.94590791960093079</v>
      </c>
    </row>
    <row r="36" spans="1:16" ht="14.65" thickBot="1" x14ac:dyDescent="0.5">
      <c r="A36" s="1">
        <v>17.7</v>
      </c>
      <c r="B36" s="1">
        <v>0.19450000000000001</v>
      </c>
      <c r="C36" s="1">
        <v>2.9999999999999997E-4</v>
      </c>
      <c r="D36" s="7">
        <f>1/tblCBR[[#This Row],[std devs]]^2</f>
        <v>11111111.111111114</v>
      </c>
      <c r="E36" s="10">
        <f>b_1*tblCBR[[#This Row],[wavenumber]]^3/(EXP(b_2*tblCBR[[#This Row],[wavenumber]])-1)</f>
        <v>0.19447774927305339</v>
      </c>
      <c r="F36" s="7">
        <f>tblCBR[[#This Row],[B_exp]]-tblCBR[[#This Row],[yhat]]</f>
        <v>2.2250726946615451E-5</v>
      </c>
      <c r="I36" s="17"/>
      <c r="J36" s="18">
        <v>0.96659308147347056</v>
      </c>
      <c r="K36" s="19">
        <v>1</v>
      </c>
      <c r="M36" s="17"/>
      <c r="N36" s="18">
        <v>0.94590791960093079</v>
      </c>
      <c r="O36" s="19">
        <v>1</v>
      </c>
    </row>
    <row r="37" spans="1:16" x14ac:dyDescent="0.45">
      <c r="A37" s="1">
        <v>18.149999999999999</v>
      </c>
      <c r="B37" s="1">
        <v>0.16569999999999999</v>
      </c>
      <c r="C37" s="1">
        <v>3.2000000000000003E-4</v>
      </c>
      <c r="D37" s="7">
        <f>1/tblCBR[[#This Row],[std devs]]^2</f>
        <v>9765624.9999999981</v>
      </c>
      <c r="E37" s="10">
        <f>b_1*tblCBR[[#This Row],[wavenumber]]^3/(EXP(b_2*tblCBR[[#This Row],[wavenumber]])-1)</f>
        <v>0.16538606688482485</v>
      </c>
      <c r="F37" s="7">
        <f>tblCBR[[#This Row],[B_exp]]-tblCBR[[#This Row],[yhat]]</f>
        <v>3.1393311517513567E-4</v>
      </c>
      <c r="I37" s="22" t="s">
        <v>29</v>
      </c>
      <c r="M37" s="22" t="s">
        <v>28</v>
      </c>
    </row>
    <row r="38" spans="1:16" ht="14.65" thickBot="1" x14ac:dyDescent="0.5">
      <c r="A38" s="1">
        <v>18.61</v>
      </c>
      <c r="B38" s="1">
        <v>0.1396</v>
      </c>
      <c r="C38" s="1">
        <v>3.3E-4</v>
      </c>
      <c r="D38" s="7">
        <f>1/tblCBR[[#This Row],[std devs]]^2</f>
        <v>9182736.4554637279</v>
      </c>
      <c r="E38" s="10">
        <f>b_1*tblCBR[[#This Row],[wavenumber]]^3/(EXP(b_2*tblCBR[[#This Row],[wavenumber]])-1)</f>
        <v>0.13987436755970931</v>
      </c>
      <c r="F38" s="7">
        <f>tblCBR[[#This Row],[B_exp]]-tblCBR[[#This Row],[yhat]]</f>
        <v>-2.7436755970930427E-4</v>
      </c>
      <c r="I38" s="22"/>
      <c r="M38" s="22"/>
    </row>
    <row r="39" spans="1:16" ht="14.65" thickBot="1" x14ac:dyDescent="0.5">
      <c r="A39" s="1">
        <v>19.059999999999999</v>
      </c>
      <c r="B39" s="1">
        <v>0.11849999999999999</v>
      </c>
      <c r="C39" s="1">
        <v>3.5E-4</v>
      </c>
      <c r="D39" s="7">
        <f>1/tblCBR[[#This Row],[std devs]]^2</f>
        <v>8163265.3061224492</v>
      </c>
      <c r="E39" s="10">
        <f>b_1*tblCBR[[#This Row],[wavenumber]]^3/(EXP(b_2*tblCBR[[#This Row],[wavenumber]])-1)</f>
        <v>0.11851947072580576</v>
      </c>
      <c r="F39" s="7">
        <f>tblCBR[[#This Row],[B_exp]]-tblCBR[[#This Row],[yhat]]</f>
        <v>-1.947072580577025E-5</v>
      </c>
      <c r="H39" s="23" t="s">
        <v>35</v>
      </c>
      <c r="I39" s="24"/>
      <c r="J39" s="24"/>
      <c r="K39" s="24"/>
      <c r="L39" s="24"/>
      <c r="M39" s="24"/>
      <c r="N39" s="24"/>
      <c r="O39" s="24"/>
      <c r="P39" s="25"/>
    </row>
    <row r="40" spans="1:16" x14ac:dyDescent="0.45">
      <c r="A40" s="1">
        <v>19.510000000000002</v>
      </c>
      <c r="B40" s="1">
        <v>0.1003</v>
      </c>
      <c r="C40" s="1">
        <v>4.0999999999999999E-4</v>
      </c>
      <c r="D40" s="7">
        <f>1/tblCBR[[#This Row],[std devs]]^2</f>
        <v>5948839.9762046402</v>
      </c>
      <c r="E40" s="10">
        <f>b_1*tblCBR[[#This Row],[wavenumber]]^3/(EXP(b_2*tblCBR[[#This Row],[wavenumber]])-1)</f>
        <v>0.10025727114024555</v>
      </c>
      <c r="F40" s="7">
        <f>tblCBR[[#This Row],[B_exp]]-tblCBR[[#This Row],[yhat]]</f>
        <v>4.2728859754453952E-5</v>
      </c>
      <c r="H40" s="26" t="s">
        <v>30</v>
      </c>
      <c r="I40" s="26" t="s">
        <v>31</v>
      </c>
      <c r="J40" s="26" t="s">
        <v>32</v>
      </c>
      <c r="K40" s="26" t="s">
        <v>33</v>
      </c>
      <c r="M40" s="26" t="s">
        <v>30</v>
      </c>
      <c r="N40" s="26" t="s">
        <v>31</v>
      </c>
      <c r="O40" s="26" t="s">
        <v>32</v>
      </c>
      <c r="P40" s="26" t="s">
        <v>33</v>
      </c>
    </row>
    <row r="41" spans="1:16" x14ac:dyDescent="0.45">
      <c r="A41" s="1">
        <v>19.97</v>
      </c>
      <c r="B41" s="1">
        <v>8.4599999999999995E-2</v>
      </c>
      <c r="C41" s="1">
        <v>5.5000000000000003E-4</v>
      </c>
      <c r="D41" s="7">
        <f>1/tblCBR[[#This Row],[std devs]]^2</f>
        <v>3305785.1239669421</v>
      </c>
      <c r="E41" s="10">
        <f>b_1*tblCBR[[#This Row],[wavenumber]]^3/(EXP(b_2*tblCBR[[#This Row],[wavenumber]])-1)</f>
        <v>8.4355146883304283E-2</v>
      </c>
      <c r="F41" s="7">
        <f>tblCBR[[#This Row],[B_exp]]-tblCBR[[#This Row],[yhat]]</f>
        <v>2.4485311669571186E-4</v>
      </c>
      <c r="H41" s="1" t="s">
        <v>25</v>
      </c>
      <c r="I41" s="1" cm="1">
        <f t="array" ref="I41:J41">TRANSPOSE(K28:K29)</f>
        <v>0.52740626220317088</v>
      </c>
      <c r="J41" s="1">
        <v>6.1497168170020118E-6</v>
      </c>
      <c r="K41" s="1">
        <f>J41/I41</f>
        <v>1.1660302991686848E-5</v>
      </c>
      <c r="M41" s="1" t="s">
        <v>25</v>
      </c>
      <c r="N41" s="1" cm="1">
        <f t="array" ref="N41:O41">TRANSPOSE(O28:O29)</f>
        <v>0.52740962312073381</v>
      </c>
      <c r="O41" s="1">
        <v>2.2687188904505379E-5</v>
      </c>
      <c r="P41" s="1">
        <f>O41/N41</f>
        <v>4.3016258918946311E-5</v>
      </c>
    </row>
    <row r="42" spans="1:16" ht="14.65" thickBot="1" x14ac:dyDescent="0.5">
      <c r="A42" s="1">
        <v>20.420000000000002</v>
      </c>
      <c r="B42" s="1">
        <v>7.17E-2</v>
      </c>
      <c r="C42" s="1">
        <v>8.8000000000000003E-4</v>
      </c>
      <c r="D42" s="7">
        <f>1/tblCBR[[#This Row],[std devs]]^2</f>
        <v>1291322.3140495867</v>
      </c>
      <c r="E42" s="10">
        <f>b_1*tblCBR[[#This Row],[wavenumber]]^3/(EXP(b_2*tblCBR[[#This Row],[wavenumber]])-1)</f>
        <v>7.1132679486404143E-2</v>
      </c>
      <c r="F42" s="7">
        <f>tblCBR[[#This Row],[B_exp]]-tblCBR[[#This Row],[yhat]]</f>
        <v>5.6732051359585645E-4</v>
      </c>
      <c r="H42" s="1" t="s">
        <v>38</v>
      </c>
      <c r="I42" s="1">
        <f>1/I41</f>
        <v>1.8960715328305553</v>
      </c>
      <c r="J42" s="1">
        <f>K42*I42</f>
        <v>2.2108768566716392E-5</v>
      </c>
      <c r="K42" s="1">
        <f>K41</f>
        <v>1.1660302991686848E-5</v>
      </c>
      <c r="M42" s="1" t="s">
        <v>38</v>
      </c>
      <c r="N42" s="1">
        <f>1/N41</f>
        <v>1.8960594501156487</v>
      </c>
      <c r="O42" s="1">
        <f>P42*N42</f>
        <v>8.1561384231889714E-5</v>
      </c>
      <c r="P42" s="1">
        <f>P41</f>
        <v>4.3016258918946311E-5</v>
      </c>
    </row>
    <row r="43" spans="1:16" ht="14.65" thickBot="1" x14ac:dyDescent="0.5">
      <c r="A43" s="1">
        <v>20.87</v>
      </c>
      <c r="B43" s="1">
        <v>5.8700000000000002E-2</v>
      </c>
      <c r="C43" s="1">
        <v>1.5399999999999999E-3</v>
      </c>
      <c r="D43" s="7">
        <f>1/tblCBR[[#This Row],[std devs]]^2</f>
        <v>421656.26581210998</v>
      </c>
      <c r="E43" s="10">
        <f>b_1*tblCBR[[#This Row],[wavenumber]]^3/(EXP(b_2*tblCBR[[#This Row],[wavenumber]])-1)</f>
        <v>5.9895525956698899E-2</v>
      </c>
      <c r="F43" s="7">
        <f>tblCBR[[#This Row],[B_exp]]-tblCBR[[#This Row],[yhat]]</f>
        <v>-1.1955259566988966E-3</v>
      </c>
      <c r="H43" s="1" t="s">
        <v>34</v>
      </c>
      <c r="I43" s="28">
        <f>100*h*c_/k*I42</f>
        <v>2.7280238589445096</v>
      </c>
      <c r="J43" s="29">
        <f>100*h*c_/k*J42</f>
        <v>3.1809584763843765E-5</v>
      </c>
      <c r="K43" s="1"/>
      <c r="M43" s="1" t="s">
        <v>34</v>
      </c>
      <c r="N43" s="30">
        <f>100*h*c_/k*N42</f>
        <v>2.728006474613816</v>
      </c>
      <c r="O43" s="27">
        <f>100*h*c_/k*O42</f>
        <v>1.1734863284454985E-4</v>
      </c>
      <c r="P43" s="1"/>
    </row>
    <row r="44" spans="1:16" x14ac:dyDescent="0.45">
      <c r="A44" s="1">
        <v>21.33</v>
      </c>
      <c r="B44" s="1">
        <v>4.5900000000000003E-2</v>
      </c>
      <c r="C44" s="1">
        <v>2.7699999999999999E-3</v>
      </c>
      <c r="D44" s="7">
        <f>1/tblCBR[[#This Row],[std devs]]^2</f>
        <v>130328.8196118808</v>
      </c>
      <c r="E44" s="10">
        <f>b_1*tblCBR[[#This Row],[wavenumber]]^3/(EXP(b_2*tblCBR[[#This Row],[wavenumber]])-1)</f>
        <v>5.0168896612711747E-2</v>
      </c>
      <c r="F44" s="7">
        <f>tblCBR[[#This Row],[B_exp]]-tblCBR[[#This Row],[yhat]]</f>
        <v>-4.2688966127117436E-3</v>
      </c>
      <c r="I44" t="s">
        <v>36</v>
      </c>
      <c r="N44" t="s">
        <v>37</v>
      </c>
    </row>
  </sheetData>
  <mergeCells count="2">
    <mergeCell ref="H23:I23"/>
    <mergeCell ref="M23:M24"/>
  </mergeCells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Michaelis-Menten</vt:lpstr>
      <vt:lpstr>Blackbody</vt:lpstr>
      <vt:lpstr>b_1</vt:lpstr>
      <vt:lpstr>b_2</vt:lpstr>
      <vt:lpstr>c_</vt:lpstr>
      <vt:lpstr>h</vt:lpstr>
      <vt:lpstr>k</vt:lpstr>
      <vt:lpstr>K_m</vt:lpstr>
      <vt:lpstr>resids</vt:lpstr>
      <vt:lpstr>V_m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2026-08-21T19:05:10Z</dcterms:created>
  <dcterms:modified xsi:type="dcterms:W3CDTF">2026-11-01T18:59:27Z</dcterms:modified>
</cp:coreProperties>
</file>